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's Lap Top\Documents\LSC Finnanicials\Budgets\"/>
    </mc:Choice>
  </mc:AlternateContent>
  <xr:revisionPtr revIDLastSave="0" documentId="8_{3FA8B4EF-332A-4609-8D93-BDB9BDA80BC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udget vs. Actuals" sheetId="1" r:id="rId1"/>
    <sheet name="Membership $$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0" i="2" l="1"/>
  <c r="AA8" i="2"/>
  <c r="AA7" i="2"/>
  <c r="AA6" i="2"/>
  <c r="AA5" i="2"/>
  <c r="AA3" i="2"/>
  <c r="X6" i="2" l="1"/>
  <c r="X10" i="2"/>
  <c r="V8" i="2"/>
  <c r="V7" i="2"/>
  <c r="V6" i="2"/>
  <c r="V5" i="2"/>
  <c r="AB5" i="2" l="1"/>
  <c r="AB6" i="2"/>
  <c r="AB7" i="2"/>
  <c r="AB8" i="2"/>
  <c r="AB9" i="2"/>
  <c r="AB10" i="2"/>
  <c r="AB3" i="2"/>
  <c r="X4" i="2"/>
  <c r="V4" i="2"/>
  <c r="Y11" i="2"/>
  <c r="W11" i="2"/>
  <c r="U11" i="2"/>
  <c r="S11" i="2"/>
  <c r="Q11" i="2"/>
  <c r="O11" i="2"/>
  <c r="M11" i="2"/>
  <c r="K11" i="2"/>
  <c r="I11" i="2"/>
  <c r="G11" i="2"/>
  <c r="E11" i="2"/>
  <c r="C11" i="2"/>
  <c r="Z4" i="2"/>
  <c r="Z5" i="2"/>
  <c r="Z6" i="2"/>
  <c r="Z7" i="2"/>
  <c r="Z8" i="2"/>
  <c r="Z9" i="2"/>
  <c r="Z10" i="2"/>
  <c r="Z3" i="2"/>
  <c r="X3" i="2"/>
  <c r="V3" i="2"/>
  <c r="V11" i="2" s="1"/>
  <c r="T4" i="2"/>
  <c r="T5" i="2"/>
  <c r="T6" i="2"/>
  <c r="T7" i="2"/>
  <c r="T8" i="2"/>
  <c r="T9" i="2"/>
  <c r="T10" i="2"/>
  <c r="T3" i="2"/>
  <c r="R4" i="2"/>
  <c r="R5" i="2"/>
  <c r="R6" i="2"/>
  <c r="R7" i="2"/>
  <c r="R8" i="2"/>
  <c r="R9" i="2"/>
  <c r="R10" i="2"/>
  <c r="R3" i="2"/>
  <c r="P4" i="2"/>
  <c r="P5" i="2"/>
  <c r="P6" i="2"/>
  <c r="P7" i="2"/>
  <c r="P8" i="2"/>
  <c r="P9" i="2"/>
  <c r="P10" i="2"/>
  <c r="P3" i="2"/>
  <c r="N4" i="2"/>
  <c r="N11" i="2" s="1"/>
  <c r="N5" i="2"/>
  <c r="N6" i="2"/>
  <c r="N7" i="2"/>
  <c r="N8" i="2"/>
  <c r="N9" i="2"/>
  <c r="N10" i="2"/>
  <c r="L4" i="2"/>
  <c r="L11" i="2" s="1"/>
  <c r="L5" i="2"/>
  <c r="L6" i="2"/>
  <c r="L7" i="2"/>
  <c r="L8" i="2"/>
  <c r="L9" i="2"/>
  <c r="L10" i="2"/>
  <c r="J4" i="2"/>
  <c r="J11" i="2" s="1"/>
  <c r="J5" i="2"/>
  <c r="J6" i="2"/>
  <c r="J7" i="2"/>
  <c r="J8" i="2"/>
  <c r="J9" i="2"/>
  <c r="J10" i="2"/>
  <c r="H4" i="2"/>
  <c r="H11" i="2" s="1"/>
  <c r="H5" i="2"/>
  <c r="H6" i="2"/>
  <c r="H7" i="2"/>
  <c r="H8" i="2"/>
  <c r="H9" i="2"/>
  <c r="H10" i="2"/>
  <c r="F4" i="2"/>
  <c r="F11" i="2" s="1"/>
  <c r="F5" i="2"/>
  <c r="F6" i="2"/>
  <c r="F7" i="2"/>
  <c r="F8" i="2"/>
  <c r="F9" i="2"/>
  <c r="F10" i="2"/>
  <c r="N3" i="2"/>
  <c r="L3" i="2"/>
  <c r="J3" i="2"/>
  <c r="H3" i="2"/>
  <c r="F3" i="2"/>
  <c r="D4" i="2"/>
  <c r="D5" i="2"/>
  <c r="D6" i="2"/>
  <c r="D7" i="2"/>
  <c r="D8" i="2"/>
  <c r="D9" i="2"/>
  <c r="D10" i="2"/>
  <c r="D3" i="2"/>
  <c r="D11" i="2" l="1"/>
  <c r="AA4" i="2"/>
  <c r="P11" i="2"/>
  <c r="Z11" i="2"/>
  <c r="T11" i="2"/>
  <c r="R11" i="2"/>
  <c r="AB12" i="2"/>
  <c r="AJ133" i="1"/>
  <c r="AI133" i="1"/>
  <c r="AG133" i="1"/>
  <c r="AF133" i="1"/>
  <c r="AD133" i="1"/>
  <c r="AC133" i="1"/>
  <c r="AA133" i="1"/>
  <c r="Z133" i="1"/>
  <c r="X133" i="1"/>
  <c r="W133" i="1"/>
  <c r="U133" i="1"/>
  <c r="R133" i="1"/>
  <c r="O133" i="1"/>
  <c r="L133" i="1"/>
  <c r="K133" i="1"/>
  <c r="I133" i="1"/>
  <c r="H133" i="1"/>
  <c r="F133" i="1"/>
  <c r="C133" i="1"/>
  <c r="B133" i="1"/>
  <c r="AM132" i="1"/>
  <c r="AL132" i="1"/>
  <c r="AK132" i="1"/>
  <c r="AH132" i="1"/>
  <c r="AE132" i="1"/>
  <c r="AB132" i="1"/>
  <c r="Y132" i="1"/>
  <c r="V132" i="1"/>
  <c r="S132" i="1"/>
  <c r="P132" i="1"/>
  <c r="M132" i="1"/>
  <c r="J132" i="1"/>
  <c r="G132" i="1"/>
  <c r="D132" i="1"/>
  <c r="AM131" i="1"/>
  <c r="AK131" i="1"/>
  <c r="AH131" i="1"/>
  <c r="AE131" i="1"/>
  <c r="AB131" i="1"/>
  <c r="Y131" i="1"/>
  <c r="T131" i="1"/>
  <c r="V131" i="1" s="1"/>
  <c r="Q131" i="1"/>
  <c r="Q133" i="1" s="1"/>
  <c r="N131" i="1"/>
  <c r="M131" i="1"/>
  <c r="J131" i="1"/>
  <c r="G131" i="1"/>
  <c r="D131" i="1"/>
  <c r="AM130" i="1"/>
  <c r="AL130" i="1"/>
  <c r="AK130" i="1"/>
  <c r="AH130" i="1"/>
  <c r="AE130" i="1"/>
  <c r="AB130" i="1"/>
  <c r="Y130" i="1"/>
  <c r="V130" i="1"/>
  <c r="S130" i="1"/>
  <c r="P130" i="1"/>
  <c r="M130" i="1"/>
  <c r="J130" i="1"/>
  <c r="G130" i="1"/>
  <c r="D130" i="1"/>
  <c r="AM129" i="1"/>
  <c r="AK129" i="1"/>
  <c r="AH129" i="1"/>
  <c r="AE129" i="1"/>
  <c r="AB129" i="1"/>
  <c r="Y129" i="1"/>
  <c r="V129" i="1"/>
  <c r="S129" i="1"/>
  <c r="P129" i="1"/>
  <c r="M129" i="1"/>
  <c r="J129" i="1"/>
  <c r="E129" i="1"/>
  <c r="AL129" i="1" s="1"/>
  <c r="D129" i="1"/>
  <c r="AM128" i="1"/>
  <c r="AL128" i="1"/>
  <c r="AK128" i="1"/>
  <c r="AH128" i="1"/>
  <c r="AE128" i="1"/>
  <c r="AB128" i="1"/>
  <c r="Y128" i="1"/>
  <c r="V128" i="1"/>
  <c r="S128" i="1"/>
  <c r="P128" i="1"/>
  <c r="M128" i="1"/>
  <c r="J128" i="1"/>
  <c r="G128" i="1"/>
  <c r="D128" i="1"/>
  <c r="AM127" i="1"/>
  <c r="AL127" i="1"/>
  <c r="AK127" i="1"/>
  <c r="AH127" i="1"/>
  <c r="AE127" i="1"/>
  <c r="AB127" i="1"/>
  <c r="Y127" i="1"/>
  <c r="V127" i="1"/>
  <c r="S127" i="1"/>
  <c r="P127" i="1"/>
  <c r="M127" i="1"/>
  <c r="J127" i="1"/>
  <c r="G127" i="1"/>
  <c r="D127" i="1"/>
  <c r="AI125" i="1"/>
  <c r="AF125" i="1"/>
  <c r="AC125" i="1"/>
  <c r="Z125" i="1"/>
  <c r="W125" i="1"/>
  <c r="T125" i="1"/>
  <c r="Q125" i="1"/>
  <c r="N125" i="1"/>
  <c r="K125" i="1"/>
  <c r="H125" i="1"/>
  <c r="AM124" i="1"/>
  <c r="AL124" i="1"/>
  <c r="AK124" i="1"/>
  <c r="AH124" i="1"/>
  <c r="AE124" i="1"/>
  <c r="AB124" i="1"/>
  <c r="Y124" i="1"/>
  <c r="V124" i="1"/>
  <c r="S124" i="1"/>
  <c r="P124" i="1"/>
  <c r="M124" i="1"/>
  <c r="J124" i="1"/>
  <c r="G124" i="1"/>
  <c r="D124" i="1"/>
  <c r="AM123" i="1"/>
  <c r="AK123" i="1"/>
  <c r="AH123" i="1"/>
  <c r="AE123" i="1"/>
  <c r="AB123" i="1"/>
  <c r="Y123" i="1"/>
  <c r="V123" i="1"/>
  <c r="S123" i="1"/>
  <c r="P123" i="1"/>
  <c r="M123" i="1"/>
  <c r="J123" i="1"/>
  <c r="E123" i="1"/>
  <c r="G123" i="1" s="1"/>
  <c r="D123" i="1"/>
  <c r="AM122" i="1"/>
  <c r="AK122" i="1"/>
  <c r="AH122" i="1"/>
  <c r="AE122" i="1"/>
  <c r="AB122" i="1"/>
  <c r="Y122" i="1"/>
  <c r="V122" i="1"/>
  <c r="S122" i="1"/>
  <c r="P122" i="1"/>
  <c r="M122" i="1"/>
  <c r="J122" i="1"/>
  <c r="E122" i="1"/>
  <c r="G122" i="1" s="1"/>
  <c r="B122" i="1"/>
  <c r="AM121" i="1"/>
  <c r="AK121" i="1"/>
  <c r="AH121" i="1"/>
  <c r="AE121" i="1"/>
  <c r="AB121" i="1"/>
  <c r="Y121" i="1"/>
  <c r="V121" i="1"/>
  <c r="S121" i="1"/>
  <c r="P121" i="1"/>
  <c r="M121" i="1"/>
  <c r="J121" i="1"/>
  <c r="E121" i="1"/>
  <c r="G121" i="1" s="1"/>
  <c r="B121" i="1"/>
  <c r="D121" i="1" s="1"/>
  <c r="AM120" i="1"/>
  <c r="AK120" i="1"/>
  <c r="AH120" i="1"/>
  <c r="AE120" i="1"/>
  <c r="AB120" i="1"/>
  <c r="Y120" i="1"/>
  <c r="V120" i="1"/>
  <c r="S120" i="1"/>
  <c r="P120" i="1"/>
  <c r="M120" i="1"/>
  <c r="J120" i="1"/>
  <c r="E120" i="1"/>
  <c r="G120" i="1" s="1"/>
  <c r="B120" i="1"/>
  <c r="AM119" i="1"/>
  <c r="AK119" i="1"/>
  <c r="AH119" i="1"/>
  <c r="AE119" i="1"/>
  <c r="AB119" i="1"/>
  <c r="Y119" i="1"/>
  <c r="V119" i="1"/>
  <c r="S119" i="1"/>
  <c r="P119" i="1"/>
  <c r="M119" i="1"/>
  <c r="J119" i="1"/>
  <c r="E119" i="1"/>
  <c r="G119" i="1" s="1"/>
  <c r="B119" i="1"/>
  <c r="AM118" i="1"/>
  <c r="AK118" i="1"/>
  <c r="AH118" i="1"/>
  <c r="AE118" i="1"/>
  <c r="AB118" i="1"/>
  <c r="Y118" i="1"/>
  <c r="V118" i="1"/>
  <c r="S118" i="1"/>
  <c r="P118" i="1"/>
  <c r="M118" i="1"/>
  <c r="J118" i="1"/>
  <c r="E118" i="1"/>
  <c r="B118" i="1"/>
  <c r="D118" i="1" s="1"/>
  <c r="AM117" i="1"/>
  <c r="AK117" i="1"/>
  <c r="AH117" i="1"/>
  <c r="AE117" i="1"/>
  <c r="AB117" i="1"/>
  <c r="Y117" i="1"/>
  <c r="V117" i="1"/>
  <c r="S117" i="1"/>
  <c r="P117" i="1"/>
  <c r="M117" i="1"/>
  <c r="J117" i="1"/>
  <c r="E117" i="1"/>
  <c r="G117" i="1" s="1"/>
  <c r="D117" i="1"/>
  <c r="AM116" i="1"/>
  <c r="AK116" i="1"/>
  <c r="AH116" i="1"/>
  <c r="AE116" i="1"/>
  <c r="AB116" i="1"/>
  <c r="Y116" i="1"/>
  <c r="V116" i="1"/>
  <c r="S116" i="1"/>
  <c r="P116" i="1"/>
  <c r="M116" i="1"/>
  <c r="J116" i="1"/>
  <c r="E116" i="1"/>
  <c r="B116" i="1"/>
  <c r="AL115" i="1"/>
  <c r="AJ115" i="1"/>
  <c r="AJ125" i="1" s="1"/>
  <c r="AG115" i="1"/>
  <c r="AG125" i="1" s="1"/>
  <c r="AD115" i="1"/>
  <c r="AD125" i="1" s="1"/>
  <c r="AA115" i="1"/>
  <c r="AA125" i="1" s="1"/>
  <c r="X115" i="1"/>
  <c r="X125" i="1" s="1"/>
  <c r="U115" i="1"/>
  <c r="R115" i="1"/>
  <c r="R125" i="1" s="1"/>
  <c r="O115" i="1"/>
  <c r="O125" i="1" s="1"/>
  <c r="L115" i="1"/>
  <c r="L125" i="1" s="1"/>
  <c r="I115" i="1"/>
  <c r="I125" i="1" s="1"/>
  <c r="F115" i="1"/>
  <c r="F125" i="1" s="1"/>
  <c r="C115" i="1"/>
  <c r="AL114" i="1"/>
  <c r="AJ114" i="1"/>
  <c r="AK114" i="1" s="1"/>
  <c r="AG114" i="1"/>
  <c r="AH114" i="1" s="1"/>
  <c r="AD114" i="1"/>
  <c r="AE114" i="1" s="1"/>
  <c r="AA114" i="1"/>
  <c r="AB114" i="1" s="1"/>
  <c r="X114" i="1"/>
  <c r="Y114" i="1" s="1"/>
  <c r="U114" i="1"/>
  <c r="V114" i="1" s="1"/>
  <c r="R114" i="1"/>
  <c r="S114" i="1" s="1"/>
  <c r="O114" i="1"/>
  <c r="P114" i="1" s="1"/>
  <c r="L114" i="1"/>
  <c r="M114" i="1" s="1"/>
  <c r="I114" i="1"/>
  <c r="J114" i="1" s="1"/>
  <c r="F114" i="1"/>
  <c r="G114" i="1" s="1"/>
  <c r="C114" i="1"/>
  <c r="AM113" i="1"/>
  <c r="AL113" i="1"/>
  <c r="AK113" i="1"/>
  <c r="AH113" i="1"/>
  <c r="AE113" i="1"/>
  <c r="AB113" i="1"/>
  <c r="Y113" i="1"/>
  <c r="V113" i="1"/>
  <c r="S113" i="1"/>
  <c r="P113" i="1"/>
  <c r="M113" i="1"/>
  <c r="J113" i="1"/>
  <c r="G113" i="1"/>
  <c r="D113" i="1"/>
  <c r="AL111" i="1"/>
  <c r="AJ111" i="1"/>
  <c r="AK111" i="1" s="1"/>
  <c r="AG111" i="1"/>
  <c r="AH111" i="1" s="1"/>
  <c r="AD111" i="1"/>
  <c r="AE111" i="1" s="1"/>
  <c r="AA111" i="1"/>
  <c r="AB111" i="1" s="1"/>
  <c r="X111" i="1"/>
  <c r="Y111" i="1" s="1"/>
  <c r="V111" i="1"/>
  <c r="U111" i="1"/>
  <c r="R111" i="1"/>
  <c r="S111" i="1" s="1"/>
  <c r="O111" i="1"/>
  <c r="P111" i="1" s="1"/>
  <c r="L111" i="1"/>
  <c r="M111" i="1" s="1"/>
  <c r="I111" i="1"/>
  <c r="J111" i="1" s="1"/>
  <c r="F111" i="1"/>
  <c r="G111" i="1" s="1"/>
  <c r="C111" i="1"/>
  <c r="D111" i="1" s="1"/>
  <c r="AJ110" i="1"/>
  <c r="AK110" i="1" s="1"/>
  <c r="AG110" i="1"/>
  <c r="AH110" i="1" s="1"/>
  <c r="AD110" i="1"/>
  <c r="AE110" i="1" s="1"/>
  <c r="AA110" i="1"/>
  <c r="AB110" i="1" s="1"/>
  <c r="X110" i="1"/>
  <c r="Y110" i="1" s="1"/>
  <c r="U110" i="1"/>
  <c r="V110" i="1" s="1"/>
  <c r="R110" i="1"/>
  <c r="S110" i="1" s="1"/>
  <c r="O110" i="1"/>
  <c r="P110" i="1" s="1"/>
  <c r="L110" i="1"/>
  <c r="M110" i="1" s="1"/>
  <c r="I110" i="1"/>
  <c r="J110" i="1" s="1"/>
  <c r="F110" i="1"/>
  <c r="G110" i="1" s="1"/>
  <c r="C110" i="1"/>
  <c r="B110" i="1"/>
  <c r="AL110" i="1" s="1"/>
  <c r="AL109" i="1"/>
  <c r="AJ109" i="1"/>
  <c r="AK109" i="1" s="1"/>
  <c r="AG109" i="1"/>
  <c r="AH109" i="1" s="1"/>
  <c r="AD109" i="1"/>
  <c r="AE109" i="1" s="1"/>
  <c r="AA109" i="1"/>
  <c r="AB109" i="1" s="1"/>
  <c r="X109" i="1"/>
  <c r="Y109" i="1" s="1"/>
  <c r="U109" i="1"/>
  <c r="V109" i="1" s="1"/>
  <c r="R109" i="1"/>
  <c r="S109" i="1" s="1"/>
  <c r="O109" i="1"/>
  <c r="P109" i="1" s="1"/>
  <c r="L109" i="1"/>
  <c r="M109" i="1" s="1"/>
  <c r="I109" i="1"/>
  <c r="J109" i="1" s="1"/>
  <c r="F109" i="1"/>
  <c r="G109" i="1" s="1"/>
  <c r="C109" i="1"/>
  <c r="AM108" i="1"/>
  <c r="AL108" i="1"/>
  <c r="AK108" i="1"/>
  <c r="AH108" i="1"/>
  <c r="AE108" i="1"/>
  <c r="AB108" i="1"/>
  <c r="Y108" i="1"/>
  <c r="V108" i="1"/>
  <c r="S108" i="1"/>
  <c r="P108" i="1"/>
  <c r="M108" i="1"/>
  <c r="J108" i="1"/>
  <c r="G108" i="1"/>
  <c r="D108" i="1"/>
  <c r="AK107" i="1"/>
  <c r="AJ107" i="1"/>
  <c r="AG107" i="1"/>
  <c r="AH107" i="1" s="1"/>
  <c r="AD107" i="1"/>
  <c r="AE107" i="1" s="1"/>
  <c r="AA107" i="1"/>
  <c r="AB107" i="1" s="1"/>
  <c r="X107" i="1"/>
  <c r="Y107" i="1" s="1"/>
  <c r="U107" i="1"/>
  <c r="V107" i="1" s="1"/>
  <c r="R107" i="1"/>
  <c r="S107" i="1" s="1"/>
  <c r="O107" i="1"/>
  <c r="P107" i="1" s="1"/>
  <c r="L107" i="1"/>
  <c r="M107" i="1" s="1"/>
  <c r="I107" i="1"/>
  <c r="J107" i="1" s="1"/>
  <c r="F107" i="1"/>
  <c r="G107" i="1" s="1"/>
  <c r="C107" i="1"/>
  <c r="B107" i="1"/>
  <c r="AL107" i="1" s="1"/>
  <c r="AM106" i="1"/>
  <c r="AL106" i="1"/>
  <c r="AK106" i="1"/>
  <c r="AH106" i="1"/>
  <c r="AE106" i="1"/>
  <c r="AB106" i="1"/>
  <c r="Y106" i="1"/>
  <c r="V106" i="1"/>
  <c r="S106" i="1"/>
  <c r="P106" i="1"/>
  <c r="M106" i="1"/>
  <c r="J106" i="1"/>
  <c r="G106" i="1"/>
  <c r="D106" i="1"/>
  <c r="AL105" i="1"/>
  <c r="AJ105" i="1"/>
  <c r="AK105" i="1" s="1"/>
  <c r="AG105" i="1"/>
  <c r="AH105" i="1" s="1"/>
  <c r="AD105" i="1"/>
  <c r="AE105" i="1" s="1"/>
  <c r="AA105" i="1"/>
  <c r="AB105" i="1" s="1"/>
  <c r="X105" i="1"/>
  <c r="Y105" i="1" s="1"/>
  <c r="U105" i="1"/>
  <c r="V105" i="1" s="1"/>
  <c r="R105" i="1"/>
  <c r="S105" i="1" s="1"/>
  <c r="O105" i="1"/>
  <c r="P105" i="1" s="1"/>
  <c r="L105" i="1"/>
  <c r="M105" i="1" s="1"/>
  <c r="I105" i="1"/>
  <c r="J105" i="1" s="1"/>
  <c r="F105" i="1"/>
  <c r="G105" i="1" s="1"/>
  <c r="C105" i="1"/>
  <c r="AJ104" i="1"/>
  <c r="AK104" i="1" s="1"/>
  <c r="AG104" i="1"/>
  <c r="AH104" i="1" s="1"/>
  <c r="AD104" i="1"/>
  <c r="AE104" i="1" s="1"/>
  <c r="AA104" i="1"/>
  <c r="AB104" i="1" s="1"/>
  <c r="X104" i="1"/>
  <c r="Y104" i="1" s="1"/>
  <c r="U104" i="1"/>
  <c r="V104" i="1" s="1"/>
  <c r="R104" i="1"/>
  <c r="S104" i="1" s="1"/>
  <c r="O104" i="1"/>
  <c r="P104" i="1" s="1"/>
  <c r="L104" i="1"/>
  <c r="M104" i="1" s="1"/>
  <c r="I104" i="1"/>
  <c r="H104" i="1"/>
  <c r="F104" i="1"/>
  <c r="E104" i="1"/>
  <c r="C104" i="1"/>
  <c r="D104" i="1" s="1"/>
  <c r="AJ103" i="1"/>
  <c r="AK103" i="1" s="1"/>
  <c r="AG103" i="1"/>
  <c r="AH103" i="1" s="1"/>
  <c r="AD103" i="1"/>
  <c r="AE103" i="1" s="1"/>
  <c r="AA103" i="1"/>
  <c r="AB103" i="1" s="1"/>
  <c r="X103" i="1"/>
  <c r="Y103" i="1" s="1"/>
  <c r="U103" i="1"/>
  <c r="V103" i="1" s="1"/>
  <c r="R103" i="1"/>
  <c r="S103" i="1" s="1"/>
  <c r="O103" i="1"/>
  <c r="N103" i="1"/>
  <c r="L103" i="1"/>
  <c r="K103" i="1"/>
  <c r="I103" i="1"/>
  <c r="H103" i="1"/>
  <c r="F103" i="1"/>
  <c r="E103" i="1"/>
  <c r="C103" i="1"/>
  <c r="B103" i="1"/>
  <c r="AJ102" i="1"/>
  <c r="AK102" i="1" s="1"/>
  <c r="AG102" i="1"/>
  <c r="AH102" i="1" s="1"/>
  <c r="AD102" i="1"/>
  <c r="AE102" i="1" s="1"/>
  <c r="AA102" i="1"/>
  <c r="AB102" i="1" s="1"/>
  <c r="X102" i="1"/>
  <c r="Y102" i="1" s="1"/>
  <c r="U102" i="1"/>
  <c r="T102" i="1"/>
  <c r="R102" i="1"/>
  <c r="S102" i="1" s="1"/>
  <c r="O102" i="1"/>
  <c r="N102" i="1"/>
  <c r="L102" i="1"/>
  <c r="M102" i="1" s="1"/>
  <c r="I102" i="1"/>
  <c r="J102" i="1" s="1"/>
  <c r="F102" i="1"/>
  <c r="G102" i="1" s="1"/>
  <c r="C102" i="1"/>
  <c r="D102" i="1" s="1"/>
  <c r="AL101" i="1"/>
  <c r="AJ101" i="1"/>
  <c r="AK101" i="1" s="1"/>
  <c r="AG101" i="1"/>
  <c r="AH101" i="1" s="1"/>
  <c r="AD101" i="1"/>
  <c r="AE101" i="1" s="1"/>
  <c r="AA101" i="1"/>
  <c r="AB101" i="1" s="1"/>
  <c r="X101" i="1"/>
  <c r="Y101" i="1" s="1"/>
  <c r="U101" i="1"/>
  <c r="V101" i="1" s="1"/>
  <c r="R101" i="1"/>
  <c r="S101" i="1" s="1"/>
  <c r="O101" i="1"/>
  <c r="P101" i="1" s="1"/>
  <c r="L101" i="1"/>
  <c r="M101" i="1" s="1"/>
  <c r="I101" i="1"/>
  <c r="J101" i="1" s="1"/>
  <c r="F101" i="1"/>
  <c r="G101" i="1" s="1"/>
  <c r="C101" i="1"/>
  <c r="D101" i="1" s="1"/>
  <c r="AM100" i="1"/>
  <c r="AL100" i="1"/>
  <c r="AK100" i="1"/>
  <c r="AH100" i="1"/>
  <c r="AE100" i="1"/>
  <c r="AB100" i="1"/>
  <c r="Y100" i="1"/>
  <c r="V100" i="1"/>
  <c r="S100" i="1"/>
  <c r="P100" i="1"/>
  <c r="M100" i="1"/>
  <c r="J100" i="1"/>
  <c r="G100" i="1"/>
  <c r="D100" i="1"/>
  <c r="AM99" i="1"/>
  <c r="AL99" i="1"/>
  <c r="AK99" i="1"/>
  <c r="AH99" i="1"/>
  <c r="AE99" i="1"/>
  <c r="AB99" i="1"/>
  <c r="Y99" i="1"/>
  <c r="V99" i="1"/>
  <c r="S99" i="1"/>
  <c r="P99" i="1"/>
  <c r="M99" i="1"/>
  <c r="J99" i="1"/>
  <c r="G99" i="1"/>
  <c r="D99" i="1"/>
  <c r="AI98" i="1"/>
  <c r="AI112" i="1" s="1"/>
  <c r="AF98" i="1"/>
  <c r="AF112" i="1" s="1"/>
  <c r="AC98" i="1"/>
  <c r="AC112" i="1" s="1"/>
  <c r="Z98" i="1"/>
  <c r="Z112" i="1" s="1"/>
  <c r="AM97" i="1"/>
  <c r="AK97" i="1"/>
  <c r="AH97" i="1"/>
  <c r="AE97" i="1"/>
  <c r="AB97" i="1"/>
  <c r="W97" i="1"/>
  <c r="Y97" i="1" s="1"/>
  <c r="V97" i="1"/>
  <c r="S97" i="1"/>
  <c r="N97" i="1"/>
  <c r="P97" i="1" s="1"/>
  <c r="K97" i="1"/>
  <c r="M97" i="1" s="1"/>
  <c r="H97" i="1"/>
  <c r="E97" i="1"/>
  <c r="G97" i="1" s="1"/>
  <c r="B97" i="1"/>
  <c r="AM96" i="1"/>
  <c r="AK96" i="1"/>
  <c r="AH96" i="1"/>
  <c r="AE96" i="1"/>
  <c r="AB96" i="1"/>
  <c r="Y96" i="1"/>
  <c r="V96" i="1"/>
  <c r="Q96" i="1"/>
  <c r="S96" i="1" s="1"/>
  <c r="P96" i="1"/>
  <c r="M96" i="1"/>
  <c r="J96" i="1"/>
  <c r="G96" i="1"/>
  <c r="D96" i="1"/>
  <c r="AM95" i="1"/>
  <c r="AK95" i="1"/>
  <c r="AH95" i="1"/>
  <c r="AE95" i="1"/>
  <c r="AB95" i="1"/>
  <c r="W95" i="1"/>
  <c r="Y95" i="1" s="1"/>
  <c r="T95" i="1"/>
  <c r="V95" i="1" s="1"/>
  <c r="Q95" i="1"/>
  <c r="N95" i="1"/>
  <c r="P95" i="1" s="1"/>
  <c r="K95" i="1"/>
  <c r="J95" i="1"/>
  <c r="G95" i="1"/>
  <c r="B95" i="1"/>
  <c r="AJ94" i="1"/>
  <c r="AG94" i="1"/>
  <c r="AG98" i="1" s="1"/>
  <c r="AD94" i="1"/>
  <c r="AA94" i="1"/>
  <c r="X94" i="1"/>
  <c r="X98" i="1" s="1"/>
  <c r="W94" i="1"/>
  <c r="U94" i="1"/>
  <c r="U98" i="1" s="1"/>
  <c r="T94" i="1"/>
  <c r="R94" i="1"/>
  <c r="O94" i="1"/>
  <c r="O98" i="1" s="1"/>
  <c r="N94" i="1"/>
  <c r="L94" i="1"/>
  <c r="L98" i="1" s="1"/>
  <c r="I94" i="1"/>
  <c r="J94" i="1" s="1"/>
  <c r="F94" i="1"/>
  <c r="F98" i="1" s="1"/>
  <c r="E94" i="1"/>
  <c r="C94" i="1"/>
  <c r="AM93" i="1"/>
  <c r="AL93" i="1"/>
  <c r="AK93" i="1"/>
  <c r="AH93" i="1"/>
  <c r="AE93" i="1"/>
  <c r="AB93" i="1"/>
  <c r="Y93" i="1"/>
  <c r="V93" i="1"/>
  <c r="S93" i="1"/>
  <c r="P93" i="1"/>
  <c r="M93" i="1"/>
  <c r="J93" i="1"/>
  <c r="G93" i="1"/>
  <c r="D93" i="1"/>
  <c r="AM92" i="1"/>
  <c r="AK92" i="1"/>
  <c r="AH92" i="1"/>
  <c r="AE92" i="1"/>
  <c r="AB92" i="1"/>
  <c r="Y92" i="1"/>
  <c r="V92" i="1"/>
  <c r="S92" i="1"/>
  <c r="P92" i="1"/>
  <c r="M92" i="1"/>
  <c r="H92" i="1"/>
  <c r="J92" i="1" s="1"/>
  <c r="G92" i="1"/>
  <c r="B92" i="1"/>
  <c r="AM91" i="1"/>
  <c r="AK91" i="1"/>
  <c r="AH91" i="1"/>
  <c r="AE91" i="1"/>
  <c r="AB91" i="1"/>
  <c r="W91" i="1"/>
  <c r="Y91" i="1" s="1"/>
  <c r="T91" i="1"/>
  <c r="V91" i="1" s="1"/>
  <c r="S91" i="1"/>
  <c r="N91" i="1"/>
  <c r="P91" i="1" s="1"/>
  <c r="K91" i="1"/>
  <c r="M91" i="1" s="1"/>
  <c r="H91" i="1"/>
  <c r="J91" i="1" s="1"/>
  <c r="E91" i="1"/>
  <c r="G91" i="1" s="1"/>
  <c r="B91" i="1"/>
  <c r="D91" i="1" s="1"/>
  <c r="AM90" i="1"/>
  <c r="AL90" i="1"/>
  <c r="AK90" i="1"/>
  <c r="AH90" i="1"/>
  <c r="AE90" i="1"/>
  <c r="AB90" i="1"/>
  <c r="Y90" i="1"/>
  <c r="V90" i="1"/>
  <c r="S90" i="1"/>
  <c r="P90" i="1"/>
  <c r="M90" i="1"/>
  <c r="J90" i="1"/>
  <c r="G90" i="1"/>
  <c r="D90" i="1"/>
  <c r="AJ89" i="1"/>
  <c r="AK89" i="1" s="1"/>
  <c r="AG89" i="1"/>
  <c r="AH89" i="1" s="1"/>
  <c r="AD89" i="1"/>
  <c r="AE89" i="1" s="1"/>
  <c r="AA89" i="1"/>
  <c r="AB89" i="1" s="1"/>
  <c r="X89" i="1"/>
  <c r="Y89" i="1" s="1"/>
  <c r="U89" i="1"/>
  <c r="T89" i="1"/>
  <c r="R89" i="1"/>
  <c r="Q89" i="1"/>
  <c r="O89" i="1"/>
  <c r="N89" i="1"/>
  <c r="L89" i="1"/>
  <c r="K89" i="1"/>
  <c r="I89" i="1"/>
  <c r="H89" i="1"/>
  <c r="F89" i="1"/>
  <c r="E89" i="1"/>
  <c r="C89" i="1"/>
  <c r="B89" i="1"/>
  <c r="AJ88" i="1"/>
  <c r="AK88" i="1" s="1"/>
  <c r="AG88" i="1"/>
  <c r="AH88" i="1" s="1"/>
  <c r="AD88" i="1"/>
  <c r="AE88" i="1" s="1"/>
  <c r="AA88" i="1"/>
  <c r="AB88" i="1" s="1"/>
  <c r="X88" i="1"/>
  <c r="W88" i="1"/>
  <c r="U88" i="1"/>
  <c r="T88" i="1"/>
  <c r="R88" i="1"/>
  <c r="Q88" i="1"/>
  <c r="O88" i="1"/>
  <c r="N88" i="1"/>
  <c r="L88" i="1"/>
  <c r="K88" i="1"/>
  <c r="I88" i="1"/>
  <c r="H88" i="1"/>
  <c r="F88" i="1"/>
  <c r="E88" i="1"/>
  <c r="C88" i="1"/>
  <c r="B88" i="1"/>
  <c r="AJ87" i="1"/>
  <c r="AK87" i="1" s="1"/>
  <c r="AG87" i="1"/>
  <c r="AH87" i="1" s="1"/>
  <c r="AD87" i="1"/>
  <c r="AE87" i="1" s="1"/>
  <c r="AA87" i="1"/>
  <c r="AB87" i="1" s="1"/>
  <c r="X87" i="1"/>
  <c r="Y87" i="1" s="1"/>
  <c r="U87" i="1"/>
  <c r="T87" i="1"/>
  <c r="R87" i="1"/>
  <c r="Q87" i="1"/>
  <c r="O87" i="1"/>
  <c r="N87" i="1"/>
  <c r="L87" i="1"/>
  <c r="K87" i="1"/>
  <c r="I87" i="1"/>
  <c r="H87" i="1"/>
  <c r="F87" i="1"/>
  <c r="E87" i="1"/>
  <c r="C87" i="1"/>
  <c r="B87" i="1"/>
  <c r="AJ86" i="1"/>
  <c r="AK86" i="1" s="1"/>
  <c r="AG86" i="1"/>
  <c r="AH86" i="1" s="1"/>
  <c r="AD86" i="1"/>
  <c r="AE86" i="1" s="1"/>
  <c r="AA86" i="1"/>
  <c r="AB86" i="1" s="1"/>
  <c r="X86" i="1"/>
  <c r="W86" i="1"/>
  <c r="U86" i="1"/>
  <c r="T86" i="1"/>
  <c r="R86" i="1"/>
  <c r="Q86" i="1"/>
  <c r="O86" i="1"/>
  <c r="N86" i="1"/>
  <c r="L86" i="1"/>
  <c r="K86" i="1"/>
  <c r="I86" i="1"/>
  <c r="H86" i="1"/>
  <c r="F86" i="1"/>
  <c r="E86" i="1"/>
  <c r="C86" i="1"/>
  <c r="B86" i="1"/>
  <c r="AJ85" i="1"/>
  <c r="AK85" i="1" s="1"/>
  <c r="AG85" i="1"/>
  <c r="AH85" i="1" s="1"/>
  <c r="AD85" i="1"/>
  <c r="AE85" i="1" s="1"/>
  <c r="AA85" i="1"/>
  <c r="AB85" i="1" s="1"/>
  <c r="X85" i="1"/>
  <c r="Y85" i="1" s="1"/>
  <c r="U85" i="1"/>
  <c r="T85" i="1"/>
  <c r="R85" i="1"/>
  <c r="S85" i="1" s="1"/>
  <c r="O85" i="1"/>
  <c r="P85" i="1" s="1"/>
  <c r="L85" i="1"/>
  <c r="K85" i="1"/>
  <c r="AL85" i="1" s="1"/>
  <c r="I85" i="1"/>
  <c r="J85" i="1" s="1"/>
  <c r="F85" i="1"/>
  <c r="G85" i="1" s="1"/>
  <c r="C85" i="1"/>
  <c r="D85" i="1" s="1"/>
  <c r="AJ84" i="1"/>
  <c r="AK84" i="1" s="1"/>
  <c r="AG84" i="1"/>
  <c r="AH84" i="1" s="1"/>
  <c r="AD84" i="1"/>
  <c r="AE84" i="1" s="1"/>
  <c r="AA84" i="1"/>
  <c r="AB84" i="1" s="1"/>
  <c r="X84" i="1"/>
  <c r="W84" i="1"/>
  <c r="U84" i="1"/>
  <c r="T84" i="1"/>
  <c r="R84" i="1"/>
  <c r="Q84" i="1"/>
  <c r="O84" i="1"/>
  <c r="N84" i="1"/>
  <c r="L84" i="1"/>
  <c r="K84" i="1"/>
  <c r="I84" i="1"/>
  <c r="H84" i="1"/>
  <c r="F84" i="1"/>
  <c r="E84" i="1"/>
  <c r="C84" i="1"/>
  <c r="B84" i="1"/>
  <c r="AJ83" i="1"/>
  <c r="AK83" i="1" s="1"/>
  <c r="AG83" i="1"/>
  <c r="AH83" i="1" s="1"/>
  <c r="AD83" i="1"/>
  <c r="AE83" i="1" s="1"/>
  <c r="AA83" i="1"/>
  <c r="AB83" i="1" s="1"/>
  <c r="X83" i="1"/>
  <c r="W83" i="1"/>
  <c r="U83" i="1"/>
  <c r="T83" i="1"/>
  <c r="R83" i="1"/>
  <c r="Q83" i="1"/>
  <c r="O83" i="1"/>
  <c r="N83" i="1"/>
  <c r="L83" i="1"/>
  <c r="K83" i="1"/>
  <c r="I83" i="1"/>
  <c r="H83" i="1"/>
  <c r="F83" i="1"/>
  <c r="E83" i="1"/>
  <c r="C83" i="1"/>
  <c r="B83" i="1"/>
  <c r="AJ82" i="1"/>
  <c r="AK82" i="1" s="1"/>
  <c r="AG82" i="1"/>
  <c r="AH82" i="1" s="1"/>
  <c r="AD82" i="1"/>
  <c r="AE82" i="1" s="1"/>
  <c r="AA82" i="1"/>
  <c r="AB82" i="1" s="1"/>
  <c r="X82" i="1"/>
  <c r="W82" i="1"/>
  <c r="U82" i="1"/>
  <c r="T82" i="1"/>
  <c r="R82" i="1"/>
  <c r="Q82" i="1"/>
  <c r="O82" i="1"/>
  <c r="N82" i="1"/>
  <c r="L82" i="1"/>
  <c r="K82" i="1"/>
  <c r="I82" i="1"/>
  <c r="H82" i="1"/>
  <c r="F82" i="1"/>
  <c r="E82" i="1"/>
  <c r="C82" i="1"/>
  <c r="B82" i="1"/>
  <c r="AM81" i="1"/>
  <c r="AK81" i="1"/>
  <c r="AH81" i="1"/>
  <c r="AE81" i="1"/>
  <c r="AB81" i="1"/>
  <c r="W81" i="1"/>
  <c r="Y81" i="1" s="1"/>
  <c r="T81" i="1"/>
  <c r="V81" i="1" s="1"/>
  <c r="Q81" i="1"/>
  <c r="S81" i="1" s="1"/>
  <c r="N81" i="1"/>
  <c r="P81" i="1" s="1"/>
  <c r="K81" i="1"/>
  <c r="M81" i="1" s="1"/>
  <c r="H81" i="1"/>
  <c r="J81" i="1" s="1"/>
  <c r="E81" i="1"/>
  <c r="G81" i="1" s="1"/>
  <c r="B81" i="1"/>
  <c r="AM80" i="1"/>
  <c r="AL80" i="1"/>
  <c r="AK80" i="1"/>
  <c r="AH80" i="1"/>
  <c r="AE80" i="1"/>
  <c r="AB80" i="1"/>
  <c r="Y80" i="1"/>
  <c r="V80" i="1"/>
  <c r="S80" i="1"/>
  <c r="P80" i="1"/>
  <c r="M80" i="1"/>
  <c r="J80" i="1"/>
  <c r="G80" i="1"/>
  <c r="D80" i="1"/>
  <c r="AJ79" i="1"/>
  <c r="AK79" i="1" s="1"/>
  <c r="AG79" i="1"/>
  <c r="AH79" i="1" s="1"/>
  <c r="AD79" i="1"/>
  <c r="AE79" i="1" s="1"/>
  <c r="AA79" i="1"/>
  <c r="AB79" i="1" s="1"/>
  <c r="X79" i="1"/>
  <c r="W79" i="1"/>
  <c r="U79" i="1"/>
  <c r="R79" i="1"/>
  <c r="O79" i="1"/>
  <c r="P79" i="1" s="1"/>
  <c r="L79" i="1"/>
  <c r="M79" i="1" s="1"/>
  <c r="I79" i="1"/>
  <c r="F79" i="1"/>
  <c r="E79" i="1"/>
  <c r="C79" i="1"/>
  <c r="AM78" i="1"/>
  <c r="AK78" i="1"/>
  <c r="AH78" i="1"/>
  <c r="AE78" i="1"/>
  <c r="AB78" i="1"/>
  <c r="Y78" i="1"/>
  <c r="V78" i="1"/>
  <c r="S78" i="1"/>
  <c r="P78" i="1"/>
  <c r="M78" i="1"/>
  <c r="J78" i="1"/>
  <c r="G78" i="1"/>
  <c r="B78" i="1"/>
  <c r="AJ76" i="1"/>
  <c r="AK76" i="1" s="1"/>
  <c r="AG76" i="1"/>
  <c r="AH76" i="1" s="1"/>
  <c r="AD76" i="1"/>
  <c r="AE76" i="1" s="1"/>
  <c r="AA76" i="1"/>
  <c r="AB76" i="1" s="1"/>
  <c r="X76" i="1"/>
  <c r="W76" i="1"/>
  <c r="U76" i="1"/>
  <c r="T76" i="1"/>
  <c r="R76" i="1"/>
  <c r="S76" i="1" s="1"/>
  <c r="O76" i="1"/>
  <c r="P76" i="1" s="1"/>
  <c r="L76" i="1"/>
  <c r="M76" i="1" s="1"/>
  <c r="I76" i="1"/>
  <c r="J76" i="1" s="1"/>
  <c r="F76" i="1"/>
  <c r="G76" i="1" s="1"/>
  <c r="C76" i="1"/>
  <c r="B76" i="1"/>
  <c r="AM75" i="1"/>
  <c r="AK75" i="1"/>
  <c r="AH75" i="1"/>
  <c r="AE75" i="1"/>
  <c r="AB75" i="1"/>
  <c r="W75" i="1"/>
  <c r="Y75" i="1" s="1"/>
  <c r="T75" i="1"/>
  <c r="V75" i="1" s="1"/>
  <c r="Q75" i="1"/>
  <c r="S75" i="1" s="1"/>
  <c r="N75" i="1"/>
  <c r="P75" i="1" s="1"/>
  <c r="K75" i="1"/>
  <c r="M75" i="1" s="1"/>
  <c r="H75" i="1"/>
  <c r="J75" i="1" s="1"/>
  <c r="E75" i="1"/>
  <c r="G75" i="1" s="1"/>
  <c r="B75" i="1"/>
  <c r="D75" i="1" s="1"/>
  <c r="AJ74" i="1"/>
  <c r="AK74" i="1" s="1"/>
  <c r="AG74" i="1"/>
  <c r="AH74" i="1" s="1"/>
  <c r="AD74" i="1"/>
  <c r="AE74" i="1" s="1"/>
  <c r="AA74" i="1"/>
  <c r="AB74" i="1" s="1"/>
  <c r="X74" i="1"/>
  <c r="W74" i="1"/>
  <c r="U74" i="1"/>
  <c r="T74" i="1"/>
  <c r="R74" i="1"/>
  <c r="Q74" i="1"/>
  <c r="O74" i="1"/>
  <c r="N74" i="1"/>
  <c r="L74" i="1"/>
  <c r="K74" i="1"/>
  <c r="I74" i="1"/>
  <c r="H74" i="1"/>
  <c r="F74" i="1"/>
  <c r="E74" i="1"/>
  <c r="C74" i="1"/>
  <c r="B74" i="1"/>
  <c r="AJ73" i="1"/>
  <c r="AI73" i="1"/>
  <c r="AG73" i="1"/>
  <c r="AF73" i="1"/>
  <c r="AD73" i="1"/>
  <c r="AC73" i="1"/>
  <c r="AA73" i="1"/>
  <c r="Z73" i="1"/>
  <c r="X73" i="1"/>
  <c r="W73" i="1"/>
  <c r="U73" i="1"/>
  <c r="T73" i="1"/>
  <c r="R73" i="1"/>
  <c r="Q73" i="1"/>
  <c r="O73" i="1"/>
  <c r="N73" i="1"/>
  <c r="L73" i="1"/>
  <c r="K73" i="1"/>
  <c r="I73" i="1"/>
  <c r="H73" i="1"/>
  <c r="F73" i="1"/>
  <c r="E73" i="1"/>
  <c r="C73" i="1"/>
  <c r="B73" i="1"/>
  <c r="AM72" i="1"/>
  <c r="AL72" i="1"/>
  <c r="AK72" i="1"/>
  <c r="AH72" i="1"/>
  <c r="AE72" i="1"/>
  <c r="AB72" i="1"/>
  <c r="Y72" i="1"/>
  <c r="V72" i="1"/>
  <c r="S72" i="1"/>
  <c r="P72" i="1"/>
  <c r="M72" i="1"/>
  <c r="J72" i="1"/>
  <c r="G72" i="1"/>
  <c r="D72" i="1"/>
  <c r="AM71" i="1"/>
  <c r="AL71" i="1"/>
  <c r="AK71" i="1"/>
  <c r="AH71" i="1"/>
  <c r="AE71" i="1"/>
  <c r="AB71" i="1"/>
  <c r="Y71" i="1"/>
  <c r="V71" i="1"/>
  <c r="S71" i="1"/>
  <c r="P71" i="1"/>
  <c r="M71" i="1"/>
  <c r="J71" i="1"/>
  <c r="G71" i="1"/>
  <c r="D71" i="1"/>
  <c r="AI70" i="1"/>
  <c r="AF70" i="1"/>
  <c r="AC70" i="1"/>
  <c r="Z70" i="1"/>
  <c r="W70" i="1"/>
  <c r="N70" i="1"/>
  <c r="H70" i="1"/>
  <c r="B70" i="1"/>
  <c r="AM69" i="1"/>
  <c r="AK69" i="1"/>
  <c r="AH69" i="1"/>
  <c r="AE69" i="1"/>
  <c r="AB69" i="1"/>
  <c r="Y69" i="1"/>
  <c r="T69" i="1"/>
  <c r="T70" i="1" s="1"/>
  <c r="Q69" i="1"/>
  <c r="Q70" i="1" s="1"/>
  <c r="P69" i="1"/>
  <c r="K69" i="1"/>
  <c r="M69" i="1" s="1"/>
  <c r="J69" i="1"/>
  <c r="E69" i="1"/>
  <c r="E70" i="1" s="1"/>
  <c r="D69" i="1"/>
  <c r="AM68" i="1"/>
  <c r="AL68" i="1"/>
  <c r="AK68" i="1"/>
  <c r="AH68" i="1"/>
  <c r="AE68" i="1"/>
  <c r="AB68" i="1"/>
  <c r="Y68" i="1"/>
  <c r="V68" i="1"/>
  <c r="S68" i="1"/>
  <c r="P68" i="1"/>
  <c r="M68" i="1"/>
  <c r="J68" i="1"/>
  <c r="G68" i="1"/>
  <c r="D68" i="1"/>
  <c r="AM67" i="1"/>
  <c r="AL67" i="1"/>
  <c r="AK67" i="1"/>
  <c r="AH67" i="1"/>
  <c r="AE67" i="1"/>
  <c r="AB67" i="1"/>
  <c r="Y67" i="1"/>
  <c r="V67" i="1"/>
  <c r="S67" i="1"/>
  <c r="P67" i="1"/>
  <c r="M67" i="1"/>
  <c r="J67" i="1"/>
  <c r="G67" i="1"/>
  <c r="D67" i="1"/>
  <c r="AL66" i="1"/>
  <c r="AJ66" i="1"/>
  <c r="AJ70" i="1" s="1"/>
  <c r="AG66" i="1"/>
  <c r="AG70" i="1" s="1"/>
  <c r="AD66" i="1"/>
  <c r="AD70" i="1" s="1"/>
  <c r="AA66" i="1"/>
  <c r="AB66" i="1" s="1"/>
  <c r="X66" i="1"/>
  <c r="X70" i="1" s="1"/>
  <c r="U66" i="1"/>
  <c r="U70" i="1" s="1"/>
  <c r="R66" i="1"/>
  <c r="R70" i="1" s="1"/>
  <c r="O66" i="1"/>
  <c r="P66" i="1" s="1"/>
  <c r="L66" i="1"/>
  <c r="L70" i="1" s="1"/>
  <c r="I66" i="1"/>
  <c r="I70" i="1" s="1"/>
  <c r="F66" i="1"/>
  <c r="F70" i="1" s="1"/>
  <c r="C66" i="1"/>
  <c r="C70" i="1" s="1"/>
  <c r="AM65" i="1"/>
  <c r="AL65" i="1"/>
  <c r="AK65" i="1"/>
  <c r="AH65" i="1"/>
  <c r="AE65" i="1"/>
  <c r="AB65" i="1"/>
  <c r="Y65" i="1"/>
  <c r="V65" i="1"/>
  <c r="S65" i="1"/>
  <c r="P65" i="1"/>
  <c r="M65" i="1"/>
  <c r="J65" i="1"/>
  <c r="G65" i="1"/>
  <c r="D65" i="1"/>
  <c r="AI64" i="1"/>
  <c r="AF64" i="1"/>
  <c r="AC64" i="1"/>
  <c r="Z64" i="1"/>
  <c r="T64" i="1"/>
  <c r="Q64" i="1"/>
  <c r="K64" i="1"/>
  <c r="H64" i="1"/>
  <c r="B64" i="1"/>
  <c r="AM63" i="1"/>
  <c r="AK63" i="1"/>
  <c r="AH63" i="1"/>
  <c r="AE63" i="1"/>
  <c r="AB63" i="1"/>
  <c r="Y63" i="1"/>
  <c r="V63" i="1"/>
  <c r="S63" i="1"/>
  <c r="N63" i="1"/>
  <c r="P63" i="1" s="1"/>
  <c r="M63" i="1"/>
  <c r="J63" i="1"/>
  <c r="E63" i="1"/>
  <c r="D63" i="1"/>
  <c r="AM62" i="1"/>
  <c r="AK62" i="1"/>
  <c r="AH62" i="1"/>
  <c r="AE62" i="1"/>
  <c r="AB62" i="1"/>
  <c r="W62" i="1"/>
  <c r="W64" i="1" s="1"/>
  <c r="V62" i="1"/>
  <c r="S62" i="1"/>
  <c r="P62" i="1"/>
  <c r="M62" i="1"/>
  <c r="J62" i="1"/>
  <c r="G62" i="1"/>
  <c r="D62" i="1"/>
  <c r="AJ61" i="1"/>
  <c r="AJ64" i="1" s="1"/>
  <c r="AG61" i="1"/>
  <c r="AG64" i="1" s="1"/>
  <c r="AD61" i="1"/>
  <c r="AD64" i="1" s="1"/>
  <c r="AA61" i="1"/>
  <c r="AA64" i="1" s="1"/>
  <c r="X61" i="1"/>
  <c r="X64" i="1" s="1"/>
  <c r="U61" i="1"/>
  <c r="U64" i="1" s="1"/>
  <c r="R61" i="1"/>
  <c r="R64" i="1" s="1"/>
  <c r="O61" i="1"/>
  <c r="O64" i="1" s="1"/>
  <c r="N61" i="1"/>
  <c r="L61" i="1"/>
  <c r="L64" i="1" s="1"/>
  <c r="I61" i="1"/>
  <c r="J61" i="1" s="1"/>
  <c r="F61" i="1"/>
  <c r="F64" i="1" s="1"/>
  <c r="C61" i="1"/>
  <c r="D61" i="1" s="1"/>
  <c r="AM60" i="1"/>
  <c r="AL60" i="1"/>
  <c r="AK60" i="1"/>
  <c r="AH60" i="1"/>
  <c r="AE60" i="1"/>
  <c r="AB60" i="1"/>
  <c r="Y60" i="1"/>
  <c r="V60" i="1"/>
  <c r="S60" i="1"/>
  <c r="P60" i="1"/>
  <c r="M60" i="1"/>
  <c r="J60" i="1"/>
  <c r="G60" i="1"/>
  <c r="D60" i="1"/>
  <c r="AJ57" i="1"/>
  <c r="AI57" i="1"/>
  <c r="AG57" i="1"/>
  <c r="AF57" i="1"/>
  <c r="AD57" i="1"/>
  <c r="AC57" i="1"/>
  <c r="AA57" i="1"/>
  <c r="Z57" i="1"/>
  <c r="X57" i="1"/>
  <c r="U57" i="1"/>
  <c r="R57" i="1"/>
  <c r="O57" i="1"/>
  <c r="N57" i="1"/>
  <c r="L57" i="1"/>
  <c r="I57" i="1"/>
  <c r="F57" i="1"/>
  <c r="C57" i="1"/>
  <c r="B57" i="1"/>
  <c r="AM56" i="1"/>
  <c r="AK56" i="1"/>
  <c r="AH56" i="1"/>
  <c r="AE56" i="1"/>
  <c r="AB56" i="1"/>
  <c r="W56" i="1"/>
  <c r="W57" i="1" s="1"/>
  <c r="T56" i="1"/>
  <c r="T57" i="1" s="1"/>
  <c r="Q56" i="1"/>
  <c r="Q57" i="1" s="1"/>
  <c r="P56" i="1"/>
  <c r="K56" i="1"/>
  <c r="K57" i="1" s="1"/>
  <c r="H56" i="1"/>
  <c r="J56" i="1" s="1"/>
  <c r="E56" i="1"/>
  <c r="E57" i="1" s="1"/>
  <c r="D56" i="1"/>
  <c r="AM55" i="1"/>
  <c r="AL55" i="1"/>
  <c r="AK55" i="1"/>
  <c r="AH55" i="1"/>
  <c r="AE55" i="1"/>
  <c r="AB55" i="1"/>
  <c r="Y55" i="1"/>
  <c r="V55" i="1"/>
  <c r="S55" i="1"/>
  <c r="P55" i="1"/>
  <c r="M55" i="1"/>
  <c r="J55" i="1"/>
  <c r="G55" i="1"/>
  <c r="D55" i="1"/>
  <c r="AJ54" i="1"/>
  <c r="AI54" i="1"/>
  <c r="AG54" i="1"/>
  <c r="AF54" i="1"/>
  <c r="AD54" i="1"/>
  <c r="AC54" i="1"/>
  <c r="AA54" i="1"/>
  <c r="Z54" i="1"/>
  <c r="X54" i="1"/>
  <c r="U54" i="1"/>
  <c r="R54" i="1"/>
  <c r="O54" i="1"/>
  <c r="L54" i="1"/>
  <c r="I54" i="1"/>
  <c r="F54" i="1"/>
  <c r="C54" i="1"/>
  <c r="AM53" i="1"/>
  <c r="AL53" i="1"/>
  <c r="AK53" i="1"/>
  <c r="AH53" i="1"/>
  <c r="AE53" i="1"/>
  <c r="AB53" i="1"/>
  <c r="Y53" i="1"/>
  <c r="V53" i="1"/>
  <c r="S53" i="1"/>
  <c r="P53" i="1"/>
  <c r="M53" i="1"/>
  <c r="J53" i="1"/>
  <c r="G53" i="1"/>
  <c r="D53" i="1"/>
  <c r="AM52" i="1"/>
  <c r="AK52" i="1"/>
  <c r="AH52" i="1"/>
  <c r="AE52" i="1"/>
  <c r="AB52" i="1"/>
  <c r="W52" i="1"/>
  <c r="Y52" i="1" s="1"/>
  <c r="T52" i="1"/>
  <c r="V52" i="1" s="1"/>
  <c r="Q52" i="1"/>
  <c r="S52" i="1" s="1"/>
  <c r="N52" i="1"/>
  <c r="N54" i="1" s="1"/>
  <c r="K52" i="1"/>
  <c r="K54" i="1" s="1"/>
  <c r="H52" i="1"/>
  <c r="H54" i="1" s="1"/>
  <c r="E52" i="1"/>
  <c r="G52" i="1" s="1"/>
  <c r="B52" i="1"/>
  <c r="D52" i="1" s="1"/>
  <c r="AM51" i="1"/>
  <c r="AK51" i="1"/>
  <c r="AH51" i="1"/>
  <c r="AE51" i="1"/>
  <c r="AB51" i="1"/>
  <c r="W51" i="1"/>
  <c r="Y51" i="1" s="1"/>
  <c r="T51" i="1"/>
  <c r="V51" i="1" s="1"/>
  <c r="Q51" i="1"/>
  <c r="S51" i="1" s="1"/>
  <c r="P51" i="1"/>
  <c r="M51" i="1"/>
  <c r="J51" i="1"/>
  <c r="G51" i="1"/>
  <c r="B51" i="1"/>
  <c r="AM50" i="1"/>
  <c r="AL50" i="1"/>
  <c r="AK50" i="1"/>
  <c r="AH50" i="1"/>
  <c r="AE50" i="1"/>
  <c r="AB50" i="1"/>
  <c r="Y50" i="1"/>
  <c r="V50" i="1"/>
  <c r="S50" i="1"/>
  <c r="P50" i="1"/>
  <c r="M50" i="1"/>
  <c r="J50" i="1"/>
  <c r="G50" i="1"/>
  <c r="D50" i="1"/>
  <c r="AM49" i="1"/>
  <c r="AL49" i="1"/>
  <c r="AK49" i="1"/>
  <c r="AH49" i="1"/>
  <c r="AE49" i="1"/>
  <c r="AB49" i="1"/>
  <c r="Y49" i="1"/>
  <c r="V49" i="1"/>
  <c r="S49" i="1"/>
  <c r="P49" i="1"/>
  <c r="M49" i="1"/>
  <c r="J49" i="1"/>
  <c r="G49" i="1"/>
  <c r="D49" i="1"/>
  <c r="AM48" i="1"/>
  <c r="AK48" i="1"/>
  <c r="AH48" i="1"/>
  <c r="AE48" i="1"/>
  <c r="AB48" i="1"/>
  <c r="W48" i="1"/>
  <c r="Y48" i="1" s="1"/>
  <c r="T48" i="1"/>
  <c r="V48" i="1" s="1"/>
  <c r="Q48" i="1"/>
  <c r="S48" i="1" s="1"/>
  <c r="N48" i="1"/>
  <c r="P48" i="1" s="1"/>
  <c r="K48" i="1"/>
  <c r="M48" i="1" s="1"/>
  <c r="H48" i="1"/>
  <c r="J48" i="1" s="1"/>
  <c r="E48" i="1"/>
  <c r="G48" i="1" s="1"/>
  <c r="B48" i="1"/>
  <c r="D48" i="1" s="1"/>
  <c r="AM47" i="1"/>
  <c r="AL47" i="1"/>
  <c r="AK47" i="1"/>
  <c r="AH47" i="1"/>
  <c r="AE47" i="1"/>
  <c r="AB47" i="1"/>
  <c r="Y47" i="1"/>
  <c r="V47" i="1"/>
  <c r="S47" i="1"/>
  <c r="P47" i="1"/>
  <c r="M47" i="1"/>
  <c r="J47" i="1"/>
  <c r="G47" i="1"/>
  <c r="D47" i="1"/>
  <c r="AJ46" i="1"/>
  <c r="AI46" i="1"/>
  <c r="AG46" i="1"/>
  <c r="AF46" i="1"/>
  <c r="AD46" i="1"/>
  <c r="AC46" i="1"/>
  <c r="AA46" i="1"/>
  <c r="Z46" i="1"/>
  <c r="X46" i="1"/>
  <c r="W46" i="1"/>
  <c r="U46" i="1"/>
  <c r="T46" i="1"/>
  <c r="R46" i="1"/>
  <c r="Q46" i="1"/>
  <c r="O46" i="1"/>
  <c r="L46" i="1"/>
  <c r="K46" i="1"/>
  <c r="I46" i="1"/>
  <c r="F46" i="1"/>
  <c r="C46" i="1"/>
  <c r="AM45" i="1"/>
  <c r="AL45" i="1"/>
  <c r="AK45" i="1"/>
  <c r="AH45" i="1"/>
  <c r="AE45" i="1"/>
  <c r="AB45" i="1"/>
  <c r="Y45" i="1"/>
  <c r="V45" i="1"/>
  <c r="S45" i="1"/>
  <c r="P45" i="1"/>
  <c r="M45" i="1"/>
  <c r="J45" i="1"/>
  <c r="G45" i="1"/>
  <c r="D45" i="1"/>
  <c r="AM44" i="1"/>
  <c r="AL44" i="1"/>
  <c r="AK44" i="1"/>
  <c r="AH44" i="1"/>
  <c r="AE44" i="1"/>
  <c r="AB44" i="1"/>
  <c r="Y44" i="1"/>
  <c r="V44" i="1"/>
  <c r="S44" i="1"/>
  <c r="P44" i="1"/>
  <c r="M44" i="1"/>
  <c r="J44" i="1"/>
  <c r="G44" i="1"/>
  <c r="D44" i="1"/>
  <c r="AM43" i="1"/>
  <c r="AL43" i="1"/>
  <c r="AK43" i="1"/>
  <c r="AH43" i="1"/>
  <c r="AE43" i="1"/>
  <c r="AB43" i="1"/>
  <c r="Y43" i="1"/>
  <c r="V43" i="1"/>
  <c r="S43" i="1"/>
  <c r="P43" i="1"/>
  <c r="M43" i="1"/>
  <c r="J43" i="1"/>
  <c r="G43" i="1"/>
  <c r="D43" i="1"/>
  <c r="AM42" i="1"/>
  <c r="AK42" i="1"/>
  <c r="AH42" i="1"/>
  <c r="AE42" i="1"/>
  <c r="AB42" i="1"/>
  <c r="Y42" i="1"/>
  <c r="V42" i="1"/>
  <c r="S42" i="1"/>
  <c r="N42" i="1"/>
  <c r="M42" i="1"/>
  <c r="H42" i="1"/>
  <c r="H46" i="1" s="1"/>
  <c r="E42" i="1"/>
  <c r="E46" i="1" s="1"/>
  <c r="D42" i="1"/>
  <c r="AM41" i="1"/>
  <c r="AK41" i="1"/>
  <c r="AH41" i="1"/>
  <c r="AE41" i="1"/>
  <c r="AB41" i="1"/>
  <c r="Y41" i="1"/>
  <c r="V41" i="1"/>
  <c r="S41" i="1"/>
  <c r="P41" i="1"/>
  <c r="M41" i="1"/>
  <c r="J41" i="1"/>
  <c r="G41" i="1"/>
  <c r="B41" i="1"/>
  <c r="AL41" i="1" s="1"/>
  <c r="AM40" i="1"/>
  <c r="AL40" i="1"/>
  <c r="AK40" i="1"/>
  <c r="AH40" i="1"/>
  <c r="AE40" i="1"/>
  <c r="AB40" i="1"/>
  <c r="Y40" i="1"/>
  <c r="V40" i="1"/>
  <c r="S40" i="1"/>
  <c r="P40" i="1"/>
  <c r="M40" i="1"/>
  <c r="J40" i="1"/>
  <c r="G40" i="1"/>
  <c r="D40" i="1"/>
  <c r="AI39" i="1"/>
  <c r="AF39" i="1"/>
  <c r="AC39" i="1"/>
  <c r="Z39" i="1"/>
  <c r="W39" i="1"/>
  <c r="H39" i="1"/>
  <c r="B39" i="1"/>
  <c r="AM38" i="1"/>
  <c r="AK38" i="1"/>
  <c r="AH38" i="1"/>
  <c r="AE38" i="1"/>
  <c r="AB38" i="1"/>
  <c r="Y38" i="1"/>
  <c r="T38" i="1"/>
  <c r="V38" i="1" s="1"/>
  <c r="Q38" i="1"/>
  <c r="S38" i="1" s="1"/>
  <c r="N38" i="1"/>
  <c r="P38" i="1" s="1"/>
  <c r="M38" i="1"/>
  <c r="J38" i="1"/>
  <c r="G38" i="1"/>
  <c r="D38" i="1"/>
  <c r="AM37" i="1"/>
  <c r="AL37" i="1"/>
  <c r="AK37" i="1"/>
  <c r="AH37" i="1"/>
  <c r="AE37" i="1"/>
  <c r="AB37" i="1"/>
  <c r="Y37" i="1"/>
  <c r="V37" i="1"/>
  <c r="S37" i="1"/>
  <c r="P37" i="1"/>
  <c r="M37" i="1"/>
  <c r="J37" i="1"/>
  <c r="G37" i="1"/>
  <c r="D37" i="1"/>
  <c r="AM36" i="1"/>
  <c r="AL36" i="1"/>
  <c r="AK36" i="1"/>
  <c r="AH36" i="1"/>
  <c r="AE36" i="1"/>
  <c r="AB36" i="1"/>
  <c r="Y36" i="1"/>
  <c r="V36" i="1"/>
  <c r="S36" i="1"/>
  <c r="P36" i="1"/>
  <c r="M36" i="1"/>
  <c r="J36" i="1"/>
  <c r="G36" i="1"/>
  <c r="D36" i="1"/>
  <c r="AM35" i="1"/>
  <c r="AK35" i="1"/>
  <c r="AH35" i="1"/>
  <c r="AE35" i="1"/>
  <c r="AB35" i="1"/>
  <c r="Y35" i="1"/>
  <c r="V35" i="1"/>
  <c r="S35" i="1"/>
  <c r="N35" i="1"/>
  <c r="P35" i="1" s="1"/>
  <c r="K35" i="1"/>
  <c r="M35" i="1" s="1"/>
  <c r="J35" i="1"/>
  <c r="G35" i="1"/>
  <c r="D35" i="1"/>
  <c r="AJ34" i="1"/>
  <c r="AK34" i="1" s="1"/>
  <c r="AG34" i="1"/>
  <c r="AD34" i="1"/>
  <c r="AE34" i="1" s="1"/>
  <c r="AA34" i="1"/>
  <c r="X34" i="1"/>
  <c r="Y34" i="1" s="1"/>
  <c r="U34" i="1"/>
  <c r="T34" i="1"/>
  <c r="R34" i="1"/>
  <c r="R39" i="1" s="1"/>
  <c r="Q34" i="1"/>
  <c r="O34" i="1"/>
  <c r="P34" i="1" s="1"/>
  <c r="L34" i="1"/>
  <c r="K34" i="1"/>
  <c r="I34" i="1"/>
  <c r="I39" i="1" s="1"/>
  <c r="J39" i="1" s="1"/>
  <c r="F34" i="1"/>
  <c r="F39" i="1" s="1"/>
  <c r="E34" i="1"/>
  <c r="C34" i="1"/>
  <c r="AM33" i="1"/>
  <c r="AK33" i="1"/>
  <c r="AH33" i="1"/>
  <c r="AE33" i="1"/>
  <c r="AB33" i="1"/>
  <c r="Y33" i="1"/>
  <c r="V33" i="1"/>
  <c r="S33" i="1"/>
  <c r="P33" i="1"/>
  <c r="M33" i="1"/>
  <c r="J33" i="1"/>
  <c r="E33" i="1"/>
  <c r="G33" i="1" s="1"/>
  <c r="D33" i="1"/>
  <c r="AJ32" i="1"/>
  <c r="AI32" i="1"/>
  <c r="AG32" i="1"/>
  <c r="AF32" i="1"/>
  <c r="AD32" i="1"/>
  <c r="AC32" i="1"/>
  <c r="AA32" i="1"/>
  <c r="Z32" i="1"/>
  <c r="X32" i="1"/>
  <c r="W32" i="1"/>
  <c r="U32" i="1"/>
  <c r="T32" i="1"/>
  <c r="R32" i="1"/>
  <c r="Q32" i="1"/>
  <c r="O32" i="1"/>
  <c r="N32" i="1"/>
  <c r="L32" i="1"/>
  <c r="K32" i="1"/>
  <c r="I32" i="1"/>
  <c r="H32" i="1"/>
  <c r="F32" i="1"/>
  <c r="E32" i="1"/>
  <c r="C32" i="1"/>
  <c r="B32" i="1"/>
  <c r="AM31" i="1"/>
  <c r="AL31" i="1"/>
  <c r="AK31" i="1"/>
  <c r="AH31" i="1"/>
  <c r="AE31" i="1"/>
  <c r="AB31" i="1"/>
  <c r="Y31" i="1"/>
  <c r="V31" i="1"/>
  <c r="S31" i="1"/>
  <c r="P31" i="1"/>
  <c r="M31" i="1"/>
  <c r="J31" i="1"/>
  <c r="G31" i="1"/>
  <c r="D31" i="1"/>
  <c r="AM30" i="1"/>
  <c r="AL30" i="1"/>
  <c r="AK30" i="1"/>
  <c r="AH30" i="1"/>
  <c r="AE30" i="1"/>
  <c r="AB30" i="1"/>
  <c r="Y30" i="1"/>
  <c r="V30" i="1"/>
  <c r="S30" i="1"/>
  <c r="P30" i="1"/>
  <c r="M30" i="1"/>
  <c r="J30" i="1"/>
  <c r="G30" i="1"/>
  <c r="D30" i="1"/>
  <c r="AM29" i="1"/>
  <c r="AL29" i="1"/>
  <c r="AK29" i="1"/>
  <c r="AH29" i="1"/>
  <c r="AE29" i="1"/>
  <c r="AB29" i="1"/>
  <c r="Y29" i="1"/>
  <c r="V29" i="1"/>
  <c r="S29" i="1"/>
  <c r="P29" i="1"/>
  <c r="M29" i="1"/>
  <c r="J29" i="1"/>
  <c r="G29" i="1"/>
  <c r="D29" i="1"/>
  <c r="AJ28" i="1"/>
  <c r="AK28" i="1" s="1"/>
  <c r="AG28" i="1"/>
  <c r="AH28" i="1" s="1"/>
  <c r="AD28" i="1"/>
  <c r="AE28" i="1" s="1"/>
  <c r="AA28" i="1"/>
  <c r="AB28" i="1" s="1"/>
  <c r="X28" i="1"/>
  <c r="Y28" i="1" s="1"/>
  <c r="U28" i="1"/>
  <c r="V28" i="1" s="1"/>
  <c r="R28" i="1"/>
  <c r="S28" i="1" s="1"/>
  <c r="O28" i="1"/>
  <c r="N28" i="1"/>
  <c r="AL28" i="1" s="1"/>
  <c r="L28" i="1"/>
  <c r="M28" i="1" s="1"/>
  <c r="I28" i="1"/>
  <c r="J28" i="1" s="1"/>
  <c r="F28" i="1"/>
  <c r="G28" i="1" s="1"/>
  <c r="C28" i="1"/>
  <c r="D28" i="1" s="1"/>
  <c r="AJ27" i="1"/>
  <c r="AK27" i="1" s="1"/>
  <c r="AG27" i="1"/>
  <c r="AH27" i="1" s="1"/>
  <c r="AD27" i="1"/>
  <c r="AE27" i="1" s="1"/>
  <c r="AA27" i="1"/>
  <c r="AB27" i="1" s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E27" i="1"/>
  <c r="C27" i="1"/>
  <c r="B27" i="1"/>
  <c r="AJ26" i="1"/>
  <c r="AK26" i="1" s="1"/>
  <c r="AG26" i="1"/>
  <c r="AH26" i="1" s="1"/>
  <c r="AD26" i="1"/>
  <c r="AE26" i="1" s="1"/>
  <c r="AA26" i="1"/>
  <c r="AB26" i="1" s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C26" i="1"/>
  <c r="B26" i="1"/>
  <c r="AI25" i="1"/>
  <c r="AF25" i="1"/>
  <c r="AC25" i="1"/>
  <c r="Z25" i="1"/>
  <c r="W25" i="1"/>
  <c r="T25" i="1"/>
  <c r="Q25" i="1"/>
  <c r="N25" i="1"/>
  <c r="K25" i="1"/>
  <c r="H25" i="1"/>
  <c r="E25" i="1"/>
  <c r="B25" i="1"/>
  <c r="AM24" i="1"/>
  <c r="AL24" i="1"/>
  <c r="AK24" i="1"/>
  <c r="AH24" i="1"/>
  <c r="AE24" i="1"/>
  <c r="AB24" i="1"/>
  <c r="Y24" i="1"/>
  <c r="V24" i="1"/>
  <c r="S24" i="1"/>
  <c r="P24" i="1"/>
  <c r="M24" i="1"/>
  <c r="J24" i="1"/>
  <c r="G24" i="1"/>
  <c r="D24" i="1"/>
  <c r="AM23" i="1"/>
  <c r="AL23" i="1"/>
  <c r="AK23" i="1"/>
  <c r="AH23" i="1"/>
  <c r="AE23" i="1"/>
  <c r="AB23" i="1"/>
  <c r="Y23" i="1"/>
  <c r="V23" i="1"/>
  <c r="S23" i="1"/>
  <c r="P23" i="1"/>
  <c r="M23" i="1"/>
  <c r="J23" i="1"/>
  <c r="G23" i="1"/>
  <c r="D23" i="1"/>
  <c r="AM22" i="1"/>
  <c r="AL22" i="1"/>
  <c r="AK22" i="1"/>
  <c r="AH22" i="1"/>
  <c r="AE22" i="1"/>
  <c r="AB22" i="1"/>
  <c r="Y22" i="1"/>
  <c r="V22" i="1"/>
  <c r="S22" i="1"/>
  <c r="P22" i="1"/>
  <c r="M22" i="1"/>
  <c r="J22" i="1"/>
  <c r="G22" i="1"/>
  <c r="D22" i="1"/>
  <c r="AM21" i="1"/>
  <c r="AL21" i="1"/>
  <c r="AK21" i="1"/>
  <c r="AH21" i="1"/>
  <c r="AE21" i="1"/>
  <c r="AB21" i="1"/>
  <c r="Y21" i="1"/>
  <c r="V21" i="1"/>
  <c r="S21" i="1"/>
  <c r="P21" i="1"/>
  <c r="M21" i="1"/>
  <c r="J21" i="1"/>
  <c r="G21" i="1"/>
  <c r="D21" i="1"/>
  <c r="AL20" i="1"/>
  <c r="AJ20" i="1"/>
  <c r="AJ25" i="1" s="1"/>
  <c r="AG20" i="1"/>
  <c r="AG25" i="1" s="1"/>
  <c r="AD20" i="1"/>
  <c r="AD25" i="1" s="1"/>
  <c r="AA20" i="1"/>
  <c r="AA25" i="1" s="1"/>
  <c r="X20" i="1"/>
  <c r="X25" i="1" s="1"/>
  <c r="U20" i="1"/>
  <c r="U25" i="1" s="1"/>
  <c r="R20" i="1"/>
  <c r="R25" i="1" s="1"/>
  <c r="O20" i="1"/>
  <c r="P20" i="1" s="1"/>
  <c r="L20" i="1"/>
  <c r="M20" i="1" s="1"/>
  <c r="I20" i="1"/>
  <c r="I25" i="1" s="1"/>
  <c r="F20" i="1"/>
  <c r="F25" i="1" s="1"/>
  <c r="C20" i="1"/>
  <c r="C25" i="1" s="1"/>
  <c r="AI19" i="1"/>
  <c r="AF19" i="1"/>
  <c r="AC19" i="1"/>
  <c r="Z19" i="1"/>
  <c r="AJ18" i="1"/>
  <c r="AK18" i="1" s="1"/>
  <c r="AG18" i="1"/>
  <c r="AH18" i="1" s="1"/>
  <c r="AD18" i="1"/>
  <c r="AE18" i="1" s="1"/>
  <c r="AA18" i="1"/>
  <c r="AB18" i="1" s="1"/>
  <c r="X18" i="1"/>
  <c r="Y18" i="1" s="1"/>
  <c r="U18" i="1"/>
  <c r="T18" i="1"/>
  <c r="R18" i="1"/>
  <c r="Q18" i="1"/>
  <c r="O18" i="1"/>
  <c r="P18" i="1" s="1"/>
  <c r="L18" i="1"/>
  <c r="K18" i="1"/>
  <c r="I18" i="1"/>
  <c r="H18" i="1"/>
  <c r="F18" i="1"/>
  <c r="E18" i="1"/>
  <c r="C18" i="1"/>
  <c r="B18" i="1"/>
  <c r="AJ17" i="1"/>
  <c r="AK17" i="1" s="1"/>
  <c r="AG17" i="1"/>
  <c r="AH17" i="1" s="1"/>
  <c r="AD17" i="1"/>
  <c r="AE17" i="1" s="1"/>
  <c r="AA17" i="1"/>
  <c r="AB17" i="1" s="1"/>
  <c r="X17" i="1"/>
  <c r="Y17" i="1" s="1"/>
  <c r="U17" i="1"/>
  <c r="V17" i="1" s="1"/>
  <c r="R17" i="1"/>
  <c r="Q17" i="1"/>
  <c r="O17" i="1"/>
  <c r="N17" i="1"/>
  <c r="L17" i="1"/>
  <c r="K17" i="1"/>
  <c r="I17" i="1"/>
  <c r="H17" i="1"/>
  <c r="F17" i="1"/>
  <c r="E17" i="1"/>
  <c r="C17" i="1"/>
  <c r="B17" i="1"/>
  <c r="AL16" i="1"/>
  <c r="AJ16" i="1"/>
  <c r="AK16" i="1" s="1"/>
  <c r="AG16" i="1"/>
  <c r="AH16" i="1" s="1"/>
  <c r="AD16" i="1"/>
  <c r="AE16" i="1" s="1"/>
  <c r="AA16" i="1"/>
  <c r="AB16" i="1" s="1"/>
  <c r="X16" i="1"/>
  <c r="Y16" i="1" s="1"/>
  <c r="U16" i="1"/>
  <c r="V16" i="1" s="1"/>
  <c r="R16" i="1"/>
  <c r="S16" i="1" s="1"/>
  <c r="O16" i="1"/>
  <c r="P16" i="1" s="1"/>
  <c r="L16" i="1"/>
  <c r="M16" i="1" s="1"/>
  <c r="I16" i="1"/>
  <c r="J16" i="1" s="1"/>
  <c r="F16" i="1"/>
  <c r="G16" i="1" s="1"/>
  <c r="C16" i="1"/>
  <c r="AJ15" i="1"/>
  <c r="AK15" i="1" s="1"/>
  <c r="AG15" i="1"/>
  <c r="AH15" i="1" s="1"/>
  <c r="AD15" i="1"/>
  <c r="AE15" i="1" s="1"/>
  <c r="AA15" i="1"/>
  <c r="AB15" i="1" s="1"/>
  <c r="X15" i="1"/>
  <c r="Y15" i="1" s="1"/>
  <c r="U15" i="1"/>
  <c r="V15" i="1" s="1"/>
  <c r="R15" i="1"/>
  <c r="S15" i="1" s="1"/>
  <c r="O15" i="1"/>
  <c r="P15" i="1" s="1"/>
  <c r="L15" i="1"/>
  <c r="M15" i="1" s="1"/>
  <c r="I15" i="1"/>
  <c r="J15" i="1" s="1"/>
  <c r="F15" i="1"/>
  <c r="C15" i="1"/>
  <c r="B15" i="1"/>
  <c r="AJ14" i="1"/>
  <c r="AK14" i="1" s="1"/>
  <c r="AG14" i="1"/>
  <c r="AH14" i="1" s="1"/>
  <c r="AD14" i="1"/>
  <c r="AE14" i="1" s="1"/>
  <c r="AA14" i="1"/>
  <c r="AB14" i="1" s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C14" i="1"/>
  <c r="B14" i="1"/>
  <c r="AJ13" i="1"/>
  <c r="AK13" i="1" s="1"/>
  <c r="AG13" i="1"/>
  <c r="AH13" i="1" s="1"/>
  <c r="AD13" i="1"/>
  <c r="AE13" i="1" s="1"/>
  <c r="AA13" i="1"/>
  <c r="AB13" i="1" s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C13" i="1"/>
  <c r="B13" i="1"/>
  <c r="AJ12" i="1"/>
  <c r="AK12" i="1" s="1"/>
  <c r="AG12" i="1"/>
  <c r="AH12" i="1" s="1"/>
  <c r="AD12" i="1"/>
  <c r="AE12" i="1" s="1"/>
  <c r="AA12" i="1"/>
  <c r="AB12" i="1" s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C12" i="1"/>
  <c r="B12" i="1"/>
  <c r="AJ11" i="1"/>
  <c r="AK11" i="1" s="1"/>
  <c r="AG11" i="1"/>
  <c r="AH11" i="1" s="1"/>
  <c r="AD11" i="1"/>
  <c r="AE11" i="1" s="1"/>
  <c r="AA11" i="1"/>
  <c r="AB11" i="1" s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C11" i="1"/>
  <c r="B11" i="1"/>
  <c r="AJ10" i="1"/>
  <c r="AK10" i="1" s="1"/>
  <c r="AG10" i="1"/>
  <c r="AH10" i="1" s="1"/>
  <c r="AD10" i="1"/>
  <c r="AE10" i="1" s="1"/>
  <c r="AA10" i="1"/>
  <c r="AB10" i="1" s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C10" i="1"/>
  <c r="B10" i="1"/>
  <c r="AL9" i="1"/>
  <c r="AJ9" i="1"/>
  <c r="AK9" i="1" s="1"/>
  <c r="AG9" i="1"/>
  <c r="AH9" i="1" s="1"/>
  <c r="AD9" i="1"/>
  <c r="AE9" i="1" s="1"/>
  <c r="AA9" i="1"/>
  <c r="AB9" i="1" s="1"/>
  <c r="X9" i="1"/>
  <c r="U9" i="1"/>
  <c r="V9" i="1" s="1"/>
  <c r="R9" i="1"/>
  <c r="O9" i="1"/>
  <c r="P9" i="1" s="1"/>
  <c r="L9" i="1"/>
  <c r="I9" i="1"/>
  <c r="J9" i="1" s="1"/>
  <c r="F9" i="1"/>
  <c r="C9" i="1"/>
  <c r="D9" i="1" s="1"/>
  <c r="AM8" i="1"/>
  <c r="AL8" i="1"/>
  <c r="AK8" i="1"/>
  <c r="AH8" i="1"/>
  <c r="AE8" i="1"/>
  <c r="AB8" i="1"/>
  <c r="Y8" i="1"/>
  <c r="V8" i="1"/>
  <c r="S8" i="1"/>
  <c r="P8" i="1"/>
  <c r="M8" i="1"/>
  <c r="J8" i="1"/>
  <c r="G8" i="1"/>
  <c r="D8" i="1"/>
  <c r="M32" i="1" l="1"/>
  <c r="Y32" i="1"/>
  <c r="D27" i="1"/>
  <c r="P27" i="1"/>
  <c r="M64" i="1"/>
  <c r="AI77" i="1"/>
  <c r="AK32" i="1"/>
  <c r="AH54" i="1"/>
  <c r="N64" i="1"/>
  <c r="M88" i="1"/>
  <c r="Y11" i="1"/>
  <c r="M13" i="1"/>
  <c r="S13" i="1"/>
  <c r="AH73" i="1"/>
  <c r="J74" i="1"/>
  <c r="G87" i="1"/>
  <c r="Z126" i="1"/>
  <c r="Z134" i="1" s="1"/>
  <c r="V85" i="1"/>
  <c r="B19" i="1"/>
  <c r="J17" i="1"/>
  <c r="S18" i="1"/>
  <c r="Y26" i="1"/>
  <c r="AE57" i="1"/>
  <c r="Y62" i="1"/>
  <c r="AL63" i="1"/>
  <c r="D66" i="1"/>
  <c r="AF77" i="1"/>
  <c r="AL102" i="1"/>
  <c r="AB133" i="1"/>
  <c r="V18" i="1"/>
  <c r="G25" i="1"/>
  <c r="S25" i="1"/>
  <c r="AE25" i="1"/>
  <c r="AL62" i="1"/>
  <c r="Z77" i="1"/>
  <c r="G70" i="1"/>
  <c r="V84" i="1"/>
  <c r="E98" i="1"/>
  <c r="J25" i="1"/>
  <c r="AH64" i="1"/>
  <c r="AL51" i="1"/>
  <c r="V64" i="1"/>
  <c r="AE61" i="1"/>
  <c r="G79" i="1"/>
  <c r="J89" i="1"/>
  <c r="M103" i="1"/>
  <c r="Y64" i="1"/>
  <c r="M83" i="1"/>
  <c r="Y83" i="1"/>
  <c r="J86" i="1"/>
  <c r="V87" i="1"/>
  <c r="F19" i="1"/>
  <c r="V13" i="1"/>
  <c r="AK133" i="1"/>
  <c r="W77" i="1"/>
  <c r="M46" i="1"/>
  <c r="AH70" i="1"/>
  <c r="G73" i="1"/>
  <c r="M73" i="1"/>
  <c r="S74" i="1"/>
  <c r="G84" i="1"/>
  <c r="S87" i="1"/>
  <c r="M89" i="1"/>
  <c r="S89" i="1"/>
  <c r="AH94" i="1"/>
  <c r="S125" i="1"/>
  <c r="AB115" i="1"/>
  <c r="G129" i="1"/>
  <c r="S131" i="1"/>
  <c r="Y27" i="1"/>
  <c r="M56" i="1"/>
  <c r="D10" i="1"/>
  <c r="J11" i="1"/>
  <c r="J12" i="1"/>
  <c r="D14" i="1"/>
  <c r="J18" i="1"/>
  <c r="G26" i="1"/>
  <c r="P28" i="1"/>
  <c r="AN37" i="1"/>
  <c r="V46" i="1"/>
  <c r="Y70" i="1"/>
  <c r="AK70" i="1"/>
  <c r="AA70" i="1"/>
  <c r="AB70" i="1" s="1"/>
  <c r="D82" i="1"/>
  <c r="J84" i="1"/>
  <c r="V86" i="1"/>
  <c r="P88" i="1"/>
  <c r="V88" i="1"/>
  <c r="D107" i="1"/>
  <c r="J115" i="1"/>
  <c r="AE125" i="1"/>
  <c r="AL34" i="1"/>
  <c r="AK46" i="1"/>
  <c r="AC126" i="1"/>
  <c r="AC134" i="1" s="1"/>
  <c r="D133" i="1"/>
  <c r="Y10" i="1"/>
  <c r="G17" i="1"/>
  <c r="L25" i="1"/>
  <c r="M25" i="1" s="1"/>
  <c r="M26" i="1"/>
  <c r="J27" i="1"/>
  <c r="Y73" i="1"/>
  <c r="S17" i="1"/>
  <c r="M18" i="1"/>
  <c r="AN29" i="1"/>
  <c r="T19" i="1"/>
  <c r="P12" i="1"/>
  <c r="V12" i="1"/>
  <c r="Y13" i="1"/>
  <c r="J14" i="1"/>
  <c r="P14" i="1"/>
  <c r="AM16" i="1"/>
  <c r="Y20" i="1"/>
  <c r="AK25" i="1"/>
  <c r="AN21" i="1"/>
  <c r="V27" i="1"/>
  <c r="AN45" i="1"/>
  <c r="P82" i="1"/>
  <c r="AA98" i="1"/>
  <c r="AB94" i="1"/>
  <c r="AM101" i="1"/>
  <c r="J104" i="1"/>
  <c r="M10" i="1"/>
  <c r="G18" i="1"/>
  <c r="H19" i="1"/>
  <c r="M11" i="1"/>
  <c r="AM9" i="1"/>
  <c r="J10" i="1"/>
  <c r="P10" i="1"/>
  <c r="D13" i="1"/>
  <c r="P13" i="1"/>
  <c r="AM17" i="1"/>
  <c r="S20" i="1"/>
  <c r="AB25" i="1"/>
  <c r="AK20" i="1"/>
  <c r="C125" i="1"/>
  <c r="D115" i="1"/>
  <c r="J46" i="1"/>
  <c r="J54" i="1"/>
  <c r="G57" i="1"/>
  <c r="AK57" i="1"/>
  <c r="J70" i="1"/>
  <c r="V70" i="1"/>
  <c r="S73" i="1"/>
  <c r="P74" i="1"/>
  <c r="V74" i="1"/>
  <c r="Y79" i="1"/>
  <c r="G86" i="1"/>
  <c r="D87" i="1"/>
  <c r="AL88" i="1"/>
  <c r="Y88" i="1"/>
  <c r="K98" i="1"/>
  <c r="K112" i="1" s="1"/>
  <c r="K126" i="1" s="1"/>
  <c r="K134" i="1" s="1"/>
  <c r="M125" i="1"/>
  <c r="Y125" i="1"/>
  <c r="V11" i="1"/>
  <c r="S12" i="1"/>
  <c r="G13" i="1"/>
  <c r="M14" i="1"/>
  <c r="Y14" i="1"/>
  <c r="AM15" i="1"/>
  <c r="V25" i="1"/>
  <c r="AN22" i="1"/>
  <c r="P26" i="1"/>
  <c r="D32" i="1"/>
  <c r="J32" i="1"/>
  <c r="P32" i="1"/>
  <c r="V32" i="1"/>
  <c r="AB32" i="1"/>
  <c r="AH32" i="1"/>
  <c r="E39" i="1"/>
  <c r="Q39" i="1"/>
  <c r="Y46" i="1"/>
  <c r="M54" i="1"/>
  <c r="G61" i="1"/>
  <c r="D70" i="1"/>
  <c r="V66" i="1"/>
  <c r="AE70" i="1"/>
  <c r="AM73" i="1"/>
  <c r="J73" i="1"/>
  <c r="P73" i="1"/>
  <c r="AE73" i="1"/>
  <c r="AK73" i="1"/>
  <c r="D76" i="1"/>
  <c r="J83" i="1"/>
  <c r="D86" i="1"/>
  <c r="V89" i="1"/>
  <c r="Y94" i="1"/>
  <c r="AI126" i="1"/>
  <c r="AI134" i="1" s="1"/>
  <c r="AL104" i="1"/>
  <c r="P125" i="1"/>
  <c r="AB125" i="1"/>
  <c r="AH115" i="1"/>
  <c r="AL116" i="1"/>
  <c r="AL117" i="1"/>
  <c r="J133" i="1"/>
  <c r="Y133" i="1"/>
  <c r="S32" i="1"/>
  <c r="AE32" i="1"/>
  <c r="AE64" i="1"/>
  <c r="G83" i="1"/>
  <c r="AK125" i="1"/>
  <c r="P54" i="1"/>
  <c r="AC77" i="1"/>
  <c r="C98" i="1"/>
  <c r="D94" i="1"/>
  <c r="AL97" i="1"/>
  <c r="D97" i="1"/>
  <c r="U125" i="1"/>
  <c r="V125" i="1" s="1"/>
  <c r="V115" i="1"/>
  <c r="X19" i="1"/>
  <c r="AG19" i="1"/>
  <c r="AH19" i="1" s="1"/>
  <c r="G10" i="1"/>
  <c r="V10" i="1"/>
  <c r="G11" i="1"/>
  <c r="G12" i="1"/>
  <c r="M12" i="1"/>
  <c r="G14" i="1"/>
  <c r="V14" i="1"/>
  <c r="P17" i="1"/>
  <c r="AL18" i="1"/>
  <c r="G20" i="1"/>
  <c r="AE20" i="1"/>
  <c r="AL27" i="1"/>
  <c r="G27" i="1"/>
  <c r="M27" i="1"/>
  <c r="AM28" i="1"/>
  <c r="AN28" i="1" s="1"/>
  <c r="AN30" i="1"/>
  <c r="G34" i="1"/>
  <c r="AN44" i="1"/>
  <c r="AB46" i="1"/>
  <c r="AH46" i="1"/>
  <c r="D51" i="1"/>
  <c r="AB54" i="1"/>
  <c r="G56" i="1"/>
  <c r="D57" i="1"/>
  <c r="M57" i="1"/>
  <c r="AB57" i="1"/>
  <c r="E64" i="1"/>
  <c r="G64" i="1" s="1"/>
  <c r="O70" i="1"/>
  <c r="P70" i="1" s="1"/>
  <c r="AL92" i="1"/>
  <c r="D92" i="1"/>
  <c r="AJ98" i="1"/>
  <c r="AJ112" i="1" s="1"/>
  <c r="AK112" i="1" s="1"/>
  <c r="AK94" i="1"/>
  <c r="C19" i="1"/>
  <c r="D19" i="1" s="1"/>
  <c r="R19" i="1"/>
  <c r="R58" i="1" s="1"/>
  <c r="S10" i="1"/>
  <c r="D11" i="1"/>
  <c r="S11" i="1"/>
  <c r="AL12" i="1"/>
  <c r="Y12" i="1"/>
  <c r="AL13" i="1"/>
  <c r="AL14" i="1"/>
  <c r="S14" i="1"/>
  <c r="D15" i="1"/>
  <c r="M17" i="1"/>
  <c r="AI58" i="1"/>
  <c r="AI59" i="1" s="1"/>
  <c r="AH25" i="1"/>
  <c r="AL25" i="1"/>
  <c r="S26" i="1"/>
  <c r="AM27" i="1"/>
  <c r="AD39" i="1"/>
  <c r="AE39" i="1" s="1"/>
  <c r="AN40" i="1"/>
  <c r="G42" i="1"/>
  <c r="P52" i="1"/>
  <c r="B54" i="1"/>
  <c r="D54" i="1" s="1"/>
  <c r="S57" i="1"/>
  <c r="Y56" i="1"/>
  <c r="AH57" i="1"/>
  <c r="S64" i="1"/>
  <c r="Y61" i="1"/>
  <c r="S69" i="1"/>
  <c r="AL81" i="1"/>
  <c r="D81" i="1"/>
  <c r="AD98" i="1"/>
  <c r="AE94" i="1"/>
  <c r="AL118" i="1"/>
  <c r="G118" i="1"/>
  <c r="L19" i="1"/>
  <c r="AM10" i="1"/>
  <c r="AM11" i="1"/>
  <c r="P11" i="1"/>
  <c r="AM12" i="1"/>
  <c r="N19" i="1"/>
  <c r="J13" i="1"/>
  <c r="AM14" i="1"/>
  <c r="AL17" i="1"/>
  <c r="Z58" i="1"/>
  <c r="Z59" i="1" s="1"/>
  <c r="AN23" i="1"/>
  <c r="AM26" i="1"/>
  <c r="G32" i="1"/>
  <c r="S34" i="1"/>
  <c r="AN43" i="1"/>
  <c r="G46" i="1"/>
  <c r="AE46" i="1"/>
  <c r="AL48" i="1"/>
  <c r="T54" i="1"/>
  <c r="V54" i="1" s="1"/>
  <c r="AL52" i="1"/>
  <c r="J52" i="1"/>
  <c r="AE54" i="1"/>
  <c r="AK54" i="1"/>
  <c r="S56" i="1"/>
  <c r="P57" i="1"/>
  <c r="Y57" i="1"/>
  <c r="T77" i="1"/>
  <c r="M61" i="1"/>
  <c r="S61" i="1"/>
  <c r="AB64" i="1"/>
  <c r="R98" i="1"/>
  <c r="R112" i="1" s="1"/>
  <c r="S94" i="1"/>
  <c r="H98" i="1"/>
  <c r="H112" i="1" s="1"/>
  <c r="H126" i="1" s="1"/>
  <c r="H134" i="1" s="1"/>
  <c r="J97" i="1"/>
  <c r="AM111" i="1"/>
  <c r="AK64" i="1"/>
  <c r="AM66" i="1"/>
  <c r="V73" i="1"/>
  <c r="AB73" i="1"/>
  <c r="G74" i="1"/>
  <c r="M74" i="1"/>
  <c r="Y76" i="1"/>
  <c r="G82" i="1"/>
  <c r="M82" i="1"/>
  <c r="P83" i="1"/>
  <c r="V83" i="1"/>
  <c r="M84" i="1"/>
  <c r="S84" i="1"/>
  <c r="M86" i="1"/>
  <c r="S86" i="1"/>
  <c r="AL87" i="1"/>
  <c r="J87" i="1"/>
  <c r="P87" i="1"/>
  <c r="AM88" i="1"/>
  <c r="J88" i="1"/>
  <c r="G89" i="1"/>
  <c r="AF126" i="1"/>
  <c r="AF134" i="1" s="1"/>
  <c r="AM103" i="1"/>
  <c r="J103" i="1"/>
  <c r="G104" i="1"/>
  <c r="AL122" i="1"/>
  <c r="E133" i="1"/>
  <c r="G133" i="1" s="1"/>
  <c r="AK61" i="1"/>
  <c r="J66" i="1"/>
  <c r="S70" i="1"/>
  <c r="AH66" i="1"/>
  <c r="AL74" i="1"/>
  <c r="Y74" i="1"/>
  <c r="AL75" i="1"/>
  <c r="V76" i="1"/>
  <c r="AM82" i="1"/>
  <c r="J82" i="1"/>
  <c r="S82" i="1"/>
  <c r="Y82" i="1"/>
  <c r="S83" i="1"/>
  <c r="AM84" i="1"/>
  <c r="P84" i="1"/>
  <c r="Y84" i="1"/>
  <c r="AM85" i="1"/>
  <c r="AM86" i="1"/>
  <c r="P86" i="1"/>
  <c r="Y86" i="1"/>
  <c r="M87" i="1"/>
  <c r="G88" i="1"/>
  <c r="D89" i="1"/>
  <c r="E112" i="1"/>
  <c r="P94" i="1"/>
  <c r="T98" i="1"/>
  <c r="T112" i="1" s="1"/>
  <c r="B98" i="1"/>
  <c r="V102" i="1"/>
  <c r="AL103" i="1"/>
  <c r="P103" i="1"/>
  <c r="J125" i="1"/>
  <c r="P115" i="1"/>
  <c r="AH125" i="1"/>
  <c r="AM115" i="1"/>
  <c r="AL120" i="1"/>
  <c r="D122" i="1"/>
  <c r="M133" i="1"/>
  <c r="T133" i="1"/>
  <c r="AE133" i="1"/>
  <c r="AL73" i="1"/>
  <c r="AM74" i="1"/>
  <c r="AL76" i="1"/>
  <c r="V82" i="1"/>
  <c r="S88" i="1"/>
  <c r="P89" i="1"/>
  <c r="Q98" i="1"/>
  <c r="Q112" i="1" s="1"/>
  <c r="Q126" i="1" s="1"/>
  <c r="Q134" i="1" s="1"/>
  <c r="AM105" i="1"/>
  <c r="AM109" i="1"/>
  <c r="B125" i="1"/>
  <c r="F58" i="1"/>
  <c r="D25" i="1"/>
  <c r="I19" i="1"/>
  <c r="AM18" i="1"/>
  <c r="AD19" i="1"/>
  <c r="G15" i="1"/>
  <c r="AF58" i="1"/>
  <c r="AF59" i="1" s="1"/>
  <c r="AJ77" i="1"/>
  <c r="AM13" i="1"/>
  <c r="L39" i="1"/>
  <c r="L58" i="1" s="1"/>
  <c r="M34" i="1"/>
  <c r="O77" i="1"/>
  <c r="AL11" i="1"/>
  <c r="E19" i="1"/>
  <c r="U19" i="1"/>
  <c r="AJ19" i="1"/>
  <c r="AN24" i="1"/>
  <c r="O25" i="1"/>
  <c r="P25" i="1" s="1"/>
  <c r="D26" i="1"/>
  <c r="AL32" i="1"/>
  <c r="U39" i="1"/>
  <c r="V34" i="1"/>
  <c r="N46" i="1"/>
  <c r="P46" i="1" s="1"/>
  <c r="P42" i="1"/>
  <c r="F77" i="1"/>
  <c r="U77" i="1"/>
  <c r="G9" i="1"/>
  <c r="M9" i="1"/>
  <c r="S9" i="1"/>
  <c r="Y9" i="1"/>
  <c r="AL10" i="1"/>
  <c r="D12" i="1"/>
  <c r="AL15" i="1"/>
  <c r="D16" i="1"/>
  <c r="D17" i="1"/>
  <c r="Q19" i="1"/>
  <c r="D20" i="1"/>
  <c r="J20" i="1"/>
  <c r="V20" i="1"/>
  <c r="AB20" i="1"/>
  <c r="AH20" i="1"/>
  <c r="AM20" i="1"/>
  <c r="J26" i="1"/>
  <c r="S27" i="1"/>
  <c r="C39" i="1"/>
  <c r="AM34" i="1"/>
  <c r="D34" i="1"/>
  <c r="AN36" i="1"/>
  <c r="N39" i="1"/>
  <c r="S46" i="1"/>
  <c r="B77" i="1"/>
  <c r="R77" i="1"/>
  <c r="Y25" i="1"/>
  <c r="V26" i="1"/>
  <c r="AG39" i="1"/>
  <c r="AH39" i="1" s="1"/>
  <c r="AH34" i="1"/>
  <c r="V57" i="1"/>
  <c r="O19" i="1"/>
  <c r="AA19" i="1"/>
  <c r="K19" i="1"/>
  <c r="W19" i="1"/>
  <c r="D18" i="1"/>
  <c r="AC58" i="1"/>
  <c r="AC59" i="1" s="1"/>
  <c r="AC135" i="1" s="1"/>
  <c r="AL26" i="1"/>
  <c r="AA39" i="1"/>
  <c r="AB39" i="1" s="1"/>
  <c r="AB34" i="1"/>
  <c r="G39" i="1"/>
  <c r="S39" i="1"/>
  <c r="AN41" i="1"/>
  <c r="AG77" i="1"/>
  <c r="E54" i="1"/>
  <c r="G54" i="1" s="1"/>
  <c r="Q54" i="1"/>
  <c r="S54" i="1" s="1"/>
  <c r="L77" i="1"/>
  <c r="AL33" i="1"/>
  <c r="AL35" i="1"/>
  <c r="AL38" i="1"/>
  <c r="K39" i="1"/>
  <c r="O39" i="1"/>
  <c r="AL42" i="1"/>
  <c r="B46" i="1"/>
  <c r="AL56" i="1"/>
  <c r="AM57" i="1"/>
  <c r="J34" i="1"/>
  <c r="T39" i="1"/>
  <c r="X39" i="1"/>
  <c r="Y39" i="1" s="1"/>
  <c r="AJ39" i="1"/>
  <c r="AK39" i="1" s="1"/>
  <c r="J42" i="1"/>
  <c r="AM46" i="1"/>
  <c r="M52" i="1"/>
  <c r="W54" i="1"/>
  <c r="Y54" i="1" s="1"/>
  <c r="AM54" i="1"/>
  <c r="V56" i="1"/>
  <c r="H57" i="1"/>
  <c r="D41" i="1"/>
  <c r="H77" i="1"/>
  <c r="P64" i="1"/>
  <c r="P61" i="1"/>
  <c r="V61" i="1"/>
  <c r="AB61" i="1"/>
  <c r="AH61" i="1"/>
  <c r="AM61" i="1"/>
  <c r="G63" i="1"/>
  <c r="C64" i="1"/>
  <c r="C77" i="1" s="1"/>
  <c r="G66" i="1"/>
  <c r="M66" i="1"/>
  <c r="S66" i="1"/>
  <c r="Y66" i="1"/>
  <c r="AE66" i="1"/>
  <c r="AK66" i="1"/>
  <c r="G69" i="1"/>
  <c r="V69" i="1"/>
  <c r="D74" i="1"/>
  <c r="AM76" i="1"/>
  <c r="S79" i="1"/>
  <c r="D84" i="1"/>
  <c r="AL84" i="1"/>
  <c r="AD112" i="1"/>
  <c r="AE112" i="1" s="1"/>
  <c r="AE98" i="1"/>
  <c r="D73" i="1"/>
  <c r="L112" i="1"/>
  <c r="X112" i="1"/>
  <c r="X126" i="1" s="1"/>
  <c r="I64" i="1"/>
  <c r="J64" i="1" s="1"/>
  <c r="AL69" i="1"/>
  <c r="K70" i="1"/>
  <c r="AL70" i="1" s="1"/>
  <c r="AM70" i="1"/>
  <c r="N77" i="1"/>
  <c r="D78" i="1"/>
  <c r="AL78" i="1"/>
  <c r="D79" i="1"/>
  <c r="V79" i="1"/>
  <c r="AL83" i="1"/>
  <c r="AA112" i="1"/>
  <c r="AB112" i="1" s="1"/>
  <c r="AB98" i="1"/>
  <c r="AG112" i="1"/>
  <c r="AH112" i="1" s="1"/>
  <c r="AH98" i="1"/>
  <c r="B112" i="1"/>
  <c r="AL61" i="1"/>
  <c r="AL79" i="1"/>
  <c r="J79" i="1"/>
  <c r="AL82" i="1"/>
  <c r="AM83" i="1"/>
  <c r="F112" i="1"/>
  <c r="G98" i="1"/>
  <c r="O112" i="1"/>
  <c r="U112" i="1"/>
  <c r="V112" i="1" s="1"/>
  <c r="V98" i="1"/>
  <c r="T126" i="1"/>
  <c r="T134" i="1" s="1"/>
  <c r="D83" i="1"/>
  <c r="M85" i="1"/>
  <c r="AM87" i="1"/>
  <c r="D88" i="1"/>
  <c r="AL89" i="1"/>
  <c r="G94" i="1"/>
  <c r="M94" i="1"/>
  <c r="V94" i="1"/>
  <c r="AL94" i="1"/>
  <c r="D95" i="1"/>
  <c r="M95" i="1"/>
  <c r="S95" i="1"/>
  <c r="I98" i="1"/>
  <c r="AM102" i="1"/>
  <c r="D103" i="1"/>
  <c r="D105" i="1"/>
  <c r="AL119" i="1"/>
  <c r="D119" i="1"/>
  <c r="AL86" i="1"/>
  <c r="AM89" i="1"/>
  <c r="AL91" i="1"/>
  <c r="AM94" i="1"/>
  <c r="AL95" i="1"/>
  <c r="AL96" i="1"/>
  <c r="N98" i="1"/>
  <c r="N112" i="1" s="1"/>
  <c r="N126" i="1" s="1"/>
  <c r="AM104" i="1"/>
  <c r="W98" i="1"/>
  <c r="W112" i="1" s="1"/>
  <c r="W126" i="1" s="1"/>
  <c r="W134" i="1" s="1"/>
  <c r="AM107" i="1"/>
  <c r="AM114" i="1"/>
  <c r="D114" i="1"/>
  <c r="E125" i="1"/>
  <c r="G116" i="1"/>
  <c r="P102" i="1"/>
  <c r="G103" i="1"/>
  <c r="D109" i="1"/>
  <c r="AM110" i="1"/>
  <c r="D110" i="1"/>
  <c r="AL121" i="1"/>
  <c r="N133" i="1"/>
  <c r="P133" i="1" s="1"/>
  <c r="P131" i="1"/>
  <c r="AL123" i="1"/>
  <c r="AL131" i="1"/>
  <c r="V133" i="1"/>
  <c r="G115" i="1"/>
  <c r="M115" i="1"/>
  <c r="S115" i="1"/>
  <c r="Y115" i="1"/>
  <c r="AE115" i="1"/>
  <c r="AK115" i="1"/>
  <c r="D120" i="1"/>
  <c r="D116" i="1"/>
  <c r="AM133" i="1"/>
  <c r="S133" i="1"/>
  <c r="AH133" i="1"/>
  <c r="AK98" i="1" l="1"/>
  <c r="AM125" i="1"/>
  <c r="G112" i="1"/>
  <c r="T58" i="1"/>
  <c r="T59" i="1" s="1"/>
  <c r="AL46" i="1"/>
  <c r="AL64" i="1"/>
  <c r="P39" i="1"/>
  <c r="AL133" i="1"/>
  <c r="S112" i="1"/>
  <c r="D125" i="1"/>
  <c r="M112" i="1"/>
  <c r="D98" i="1"/>
  <c r="AD126" i="1"/>
  <c r="S98" i="1"/>
  <c r="C112" i="1"/>
  <c r="C126" i="1" s="1"/>
  <c r="C134" i="1" s="1"/>
  <c r="AF135" i="1"/>
  <c r="AG126" i="1"/>
  <c r="AH126" i="1" s="1"/>
  <c r="M98" i="1"/>
  <c r="H58" i="1"/>
  <c r="H59" i="1" s="1"/>
  <c r="H135" i="1" s="1"/>
  <c r="AL125" i="1"/>
  <c r="D46" i="1"/>
  <c r="AL98" i="1"/>
  <c r="Y98" i="1"/>
  <c r="T135" i="1"/>
  <c r="W58" i="1"/>
  <c r="W59" i="1" s="1"/>
  <c r="N58" i="1"/>
  <c r="N59" i="1" s="1"/>
  <c r="E77" i="1"/>
  <c r="M70" i="1"/>
  <c r="Q58" i="1"/>
  <c r="Q59" i="1" s="1"/>
  <c r="AI135" i="1"/>
  <c r="N134" i="1"/>
  <c r="AL54" i="1"/>
  <c r="Z135" i="1"/>
  <c r="L59" i="1"/>
  <c r="I112" i="1"/>
  <c r="J98" i="1"/>
  <c r="L126" i="1"/>
  <c r="D77" i="1"/>
  <c r="P77" i="1"/>
  <c r="AL112" i="1"/>
  <c r="AA126" i="1"/>
  <c r="B126" i="1"/>
  <c r="AM98" i="1"/>
  <c r="F126" i="1"/>
  <c r="AH77" i="1"/>
  <c r="J57" i="1"/>
  <c r="K58" i="1"/>
  <c r="K59" i="1" s="1"/>
  <c r="K77" i="1"/>
  <c r="E58" i="1"/>
  <c r="E59" i="1" s="1"/>
  <c r="AD58" i="1"/>
  <c r="AE19" i="1"/>
  <c r="AA77" i="1"/>
  <c r="AG58" i="1"/>
  <c r="F59" i="1"/>
  <c r="AJ126" i="1"/>
  <c r="W135" i="1"/>
  <c r="V77" i="1"/>
  <c r="U58" i="1"/>
  <c r="V19" i="1"/>
  <c r="X134" i="1"/>
  <c r="Y134" i="1" s="1"/>
  <c r="Y126" i="1"/>
  <c r="D64" i="1"/>
  <c r="AM64" i="1"/>
  <c r="AD77" i="1"/>
  <c r="AL39" i="1"/>
  <c r="AA58" i="1"/>
  <c r="AB19" i="1"/>
  <c r="V39" i="1"/>
  <c r="M39" i="1"/>
  <c r="AL57" i="1"/>
  <c r="S19" i="1"/>
  <c r="Y19" i="1"/>
  <c r="G125" i="1"/>
  <c r="AE126" i="1"/>
  <c r="AD134" i="1"/>
  <c r="AE134" i="1" s="1"/>
  <c r="P98" i="1"/>
  <c r="P112" i="1"/>
  <c r="E126" i="1"/>
  <c r="E134" i="1" s="1"/>
  <c r="Y112" i="1"/>
  <c r="O126" i="1"/>
  <c r="U126" i="1"/>
  <c r="R126" i="1"/>
  <c r="X77" i="1"/>
  <c r="O58" i="1"/>
  <c r="P19" i="1"/>
  <c r="D39" i="1"/>
  <c r="AM39" i="1"/>
  <c r="G77" i="1"/>
  <c r="AJ58" i="1"/>
  <c r="AK19" i="1"/>
  <c r="AK77" i="1"/>
  <c r="I77" i="1"/>
  <c r="AM25" i="1"/>
  <c r="C58" i="1"/>
  <c r="R59" i="1"/>
  <c r="X58" i="1"/>
  <c r="AL19" i="1"/>
  <c r="I58" i="1"/>
  <c r="J19" i="1"/>
  <c r="M19" i="1"/>
  <c r="AM19" i="1"/>
  <c r="G19" i="1"/>
  <c r="B58" i="1"/>
  <c r="D126" i="1" l="1"/>
  <c r="AM112" i="1"/>
  <c r="D112" i="1"/>
  <c r="AG134" i="1"/>
  <c r="AH134" i="1" s="1"/>
  <c r="S58" i="1"/>
  <c r="K135" i="1"/>
  <c r="Q77" i="1"/>
  <c r="N135" i="1"/>
  <c r="P58" i="1"/>
  <c r="O59" i="1"/>
  <c r="B59" i="1"/>
  <c r="AL58" i="1"/>
  <c r="J77" i="1"/>
  <c r="AK58" i="1"/>
  <c r="AJ59" i="1"/>
  <c r="U134" i="1"/>
  <c r="V134" i="1" s="1"/>
  <c r="V126" i="1"/>
  <c r="V58" i="1"/>
  <c r="U59" i="1"/>
  <c r="G58" i="1"/>
  <c r="G126" i="1"/>
  <c r="F134" i="1"/>
  <c r="G134" i="1" s="1"/>
  <c r="AB126" i="1"/>
  <c r="AA134" i="1"/>
  <c r="AB134" i="1" s="1"/>
  <c r="AM77" i="1"/>
  <c r="J112" i="1"/>
  <c r="I126" i="1"/>
  <c r="S126" i="1"/>
  <c r="R134" i="1"/>
  <c r="S134" i="1" s="1"/>
  <c r="P126" i="1"/>
  <c r="O134" i="1"/>
  <c r="P134" i="1" s="1"/>
  <c r="G59" i="1"/>
  <c r="AD59" i="1"/>
  <c r="AE58" i="1"/>
  <c r="M59" i="1"/>
  <c r="S59" i="1"/>
  <c r="AE77" i="1"/>
  <c r="AH58" i="1"/>
  <c r="AG59" i="1"/>
  <c r="E135" i="1"/>
  <c r="B134" i="1"/>
  <c r="AL134" i="1" s="1"/>
  <c r="AL126" i="1"/>
  <c r="L134" i="1"/>
  <c r="M134" i="1" s="1"/>
  <c r="M126" i="1"/>
  <c r="M58" i="1"/>
  <c r="J58" i="1"/>
  <c r="I59" i="1"/>
  <c r="D58" i="1"/>
  <c r="C59" i="1"/>
  <c r="Y58" i="1"/>
  <c r="X59" i="1"/>
  <c r="Y77" i="1"/>
  <c r="AB58" i="1"/>
  <c r="AA59" i="1"/>
  <c r="AJ134" i="1"/>
  <c r="AK134" i="1" s="1"/>
  <c r="AK126" i="1"/>
  <c r="AB77" i="1"/>
  <c r="M77" i="1"/>
  <c r="AL77" i="1" l="1"/>
  <c r="S77" i="1"/>
  <c r="AB59" i="1"/>
  <c r="Y59" i="1"/>
  <c r="J126" i="1"/>
  <c r="I134" i="1"/>
  <c r="AM126" i="1"/>
  <c r="V59" i="1"/>
  <c r="AK59" i="1"/>
  <c r="J59" i="1"/>
  <c r="AH59" i="1"/>
  <c r="AL59" i="1"/>
  <c r="AE59" i="1"/>
  <c r="D134" i="1"/>
  <c r="P59" i="1"/>
  <c r="D59" i="1"/>
  <c r="R135" i="1" l="1"/>
  <c r="F135" i="1"/>
  <c r="G135" i="1" s="1"/>
  <c r="J134" i="1"/>
  <c r="L135" i="1"/>
  <c r="M135" i="1" s="1"/>
  <c r="AD135" i="1" l="1"/>
  <c r="AE135" i="1" s="1"/>
  <c r="AJ135" i="1"/>
  <c r="AK135" i="1" s="1"/>
  <c r="X135" i="1"/>
  <c r="Y135" i="1" s="1"/>
  <c r="U135" i="1"/>
  <c r="V135" i="1" s="1"/>
  <c r="B135" i="1"/>
  <c r="AG135" i="1"/>
  <c r="AH135" i="1" s="1"/>
  <c r="AA135" i="1"/>
  <c r="AB135" i="1" s="1"/>
  <c r="C135" i="1"/>
  <c r="I135" i="1"/>
  <c r="J135" i="1" s="1"/>
  <c r="O135" i="1"/>
  <c r="P135" i="1" s="1"/>
  <c r="Q135" i="1" l="1"/>
  <c r="S135" i="1" s="1"/>
  <c r="D135" i="1"/>
  <c r="X11" i="2"/>
  <c r="AA11" i="2" s="1"/>
  <c r="AL135" i="1" l="1"/>
</calcChain>
</file>

<file path=xl/sharedStrings.xml><?xml version="1.0" encoding="utf-8"?>
<sst xmlns="http://schemas.openxmlformats.org/spreadsheetml/2006/main" count="228" uniqueCount="186">
  <si>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</si>
  <si>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</si>
  <si>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</si>
  <si>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</si>
  <si>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</si>
  <si>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</si>
  <si>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</si>
  <si>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</si>
  <si>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</si>
  <si>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</si>
  <si>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</si>
  <si>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</si>
  <si>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Actual</t>
  </si>
  <si>
    <t>Budget</t>
  </si>
  <si>
    <t>Remaining</t>
  </si>
  <si>
    <t>Income</t>
  </si>
  <si>
    <t xml:space="preserve">   400 Income</t>
  </si>
  <si>
    <t xml:space="preserve">      410 Membership income</t>
  </si>
  <si>
    <t xml:space="preserve">         411 Athlete registration</t>
  </si>
  <si>
    <t xml:space="preserve">         412 Affiliation change</t>
  </si>
  <si>
    <t xml:space="preserve">         413 Non-athlete single</t>
  </si>
  <si>
    <t xml:space="preserve">         414 Flex</t>
  </si>
  <si>
    <t xml:space="preserve">         415 Outreach</t>
  </si>
  <si>
    <t xml:space="preserve">         416 Seasonal</t>
  </si>
  <si>
    <t xml:space="preserve">         417 Non-athlete life</t>
  </si>
  <si>
    <t xml:space="preserve">         418 Club membership</t>
  </si>
  <si>
    <t xml:space="preserve">         419 TU ACH Over/Short Account</t>
  </si>
  <si>
    <t xml:space="preserve">      Total 410 Membership income</t>
  </si>
  <si>
    <t xml:space="preserve">      420 Meet Income-1</t>
  </si>
  <si>
    <t xml:space="preserve">         423 Equipment rental (deleted)</t>
  </si>
  <si>
    <t xml:space="preserve">         424 Labels (deleted)</t>
  </si>
  <si>
    <t xml:space="preserve">         425 Senior nationals (deleted)</t>
  </si>
  <si>
    <t xml:space="preserve">         426 Junior championships (deleted)</t>
  </si>
  <si>
    <t xml:space="preserve">      Total 420 Meet Income-1</t>
  </si>
  <si>
    <t xml:space="preserve">      421 Meet income</t>
  </si>
  <si>
    <t xml:space="preserve">      422 Sanction fees</t>
  </si>
  <si>
    <t xml:space="preserve">      429 Other Meet Income</t>
  </si>
  <si>
    <t xml:space="preserve">      429 Other Meet Income (deleted)</t>
  </si>
  <si>
    <t xml:space="preserve">      430 Other program income (deleted)</t>
  </si>
  <si>
    <t xml:space="preserve">      Total 430 Other program income (deleted)</t>
  </si>
  <si>
    <t xml:space="preserve">      440 Publication income</t>
  </si>
  <si>
    <t xml:space="preserve">         441 Swim guide sales</t>
  </si>
  <si>
    <t xml:space="preserve">         442 Swim guide advertising</t>
  </si>
  <si>
    <t xml:space="preserve">         443 Result subscription</t>
  </si>
  <si>
    <t xml:space="preserve">         445 Mailing list sales</t>
  </si>
  <si>
    <t xml:space="preserve">         449 Other</t>
  </si>
  <si>
    <t xml:space="preserve">      Total 440 Publication income</t>
  </si>
  <si>
    <t xml:space="preserve">      450 Clinics and Workshops</t>
  </si>
  <si>
    <t xml:space="preserve">         451 Awards banquet</t>
  </si>
  <si>
    <t xml:space="preserve">         452 Officials' clinic</t>
  </si>
  <si>
    <t xml:space="preserve">         453 Safety clinic</t>
  </si>
  <si>
    <t xml:space="preserve">         454 National convention</t>
  </si>
  <si>
    <t xml:space="preserve">         459 Other</t>
  </si>
  <si>
    <t xml:space="preserve">      Total 450 Clinics and Workshops</t>
  </si>
  <si>
    <t xml:space="preserve">      455 USS Camps</t>
  </si>
  <si>
    <t xml:space="preserve">      460 Interest Income - Other</t>
  </si>
  <si>
    <t xml:space="preserve">      470 Donations</t>
  </si>
  <si>
    <t xml:space="preserve">      480 Fines</t>
  </si>
  <si>
    <t xml:space="preserve">         481 Missed event</t>
  </si>
  <si>
    <t xml:space="preserve">         482 On deck reg</t>
  </si>
  <si>
    <t xml:space="preserve">         483 Reissuance fees</t>
  </si>
  <si>
    <t xml:space="preserve">      Total 480 Fines</t>
  </si>
  <si>
    <t xml:space="preserve">      490 Other</t>
  </si>
  <si>
    <t xml:space="preserve">         491 Replacement checks</t>
  </si>
  <si>
    <t xml:space="preserve">      Total 490 Other</t>
  </si>
  <si>
    <t xml:space="preserve">   Total 400 Income</t>
  </si>
  <si>
    <t>Total Income</t>
  </si>
  <si>
    <t xml:space="preserve">      540 Publication expenses</t>
  </si>
  <si>
    <t xml:space="preserve">         541 Publications</t>
  </si>
  <si>
    <t xml:space="preserve">         542 Swim guide other</t>
  </si>
  <si>
    <t xml:space="preserve">         549 Other</t>
  </si>
  <si>
    <t xml:space="preserve">      Total 540 Publication expenses</t>
  </si>
  <si>
    <t xml:space="preserve">      550 Clinics and Workshops</t>
  </si>
  <si>
    <t xml:space="preserve">         552 Officials' clinic</t>
  </si>
  <si>
    <t xml:space="preserve">         553 Safety clinic</t>
  </si>
  <si>
    <t xml:space="preserve">         554 National convention</t>
  </si>
  <si>
    <t xml:space="preserve">         559 Other</t>
  </si>
  <si>
    <t xml:space="preserve">      Total 550 Clinics and Workshops</t>
  </si>
  <si>
    <t xml:space="preserve">      590 Other</t>
  </si>
  <si>
    <t xml:space="preserve">         591 Bad checks</t>
  </si>
  <si>
    <t xml:space="preserve">      Total 590 Other</t>
  </si>
  <si>
    <t xml:space="preserve">      601 Legal and accounting</t>
  </si>
  <si>
    <t xml:space="preserve">      608 Equipment Maintenance/Rental</t>
  </si>
  <si>
    <t xml:space="preserve">      613 Web Site</t>
  </si>
  <si>
    <t xml:space="preserve">   Total 500 Direct expenses</t>
  </si>
  <si>
    <t xml:space="preserve">   600 General and administrative</t>
  </si>
  <si>
    <t xml:space="preserve">      602 Insurance</t>
  </si>
  <si>
    <t xml:space="preserve">      603 Depreciation</t>
  </si>
  <si>
    <t xml:space="preserve">      604 Outside services</t>
  </si>
  <si>
    <t xml:space="preserve">      605 Telephone</t>
  </si>
  <si>
    <t xml:space="preserve">      606 Office supplies</t>
  </si>
  <si>
    <t xml:space="preserve">      607 Postage</t>
  </si>
  <si>
    <t xml:space="preserve">      609 Equipment maintenance</t>
  </si>
  <si>
    <t xml:space="preserve">      610 Salaries - Other</t>
  </si>
  <si>
    <t xml:space="preserve">      611 Payroll taxes</t>
  </si>
  <si>
    <t xml:space="preserve">      612 Rent</t>
  </si>
  <si>
    <t xml:space="preserve">      614 Bank service charges</t>
  </si>
  <si>
    <t xml:space="preserve">      616 Utilities</t>
  </si>
  <si>
    <t xml:space="preserve">      617 Merchant Fees</t>
  </si>
  <si>
    <t xml:space="preserve">      619 Donations</t>
  </si>
  <si>
    <t xml:space="preserve">      620 Officer and director expenses</t>
  </si>
  <si>
    <t xml:space="preserve">         621 Executive director</t>
  </si>
  <si>
    <t xml:space="preserve">            621-1 Airfare</t>
  </si>
  <si>
    <t xml:space="preserve">            621-2 Cell Phone</t>
  </si>
  <si>
    <t xml:space="preserve">            621-3 Ground Transportation</t>
  </si>
  <si>
    <t xml:space="preserve">         Total 621 Executive director</t>
  </si>
  <si>
    <t xml:space="preserve">         622 General chairman</t>
  </si>
  <si>
    <t xml:space="preserve">         623 Admin chairman</t>
  </si>
  <si>
    <t xml:space="preserve">         624 Senior chairman</t>
  </si>
  <si>
    <t xml:space="preserve">         625 Age group chairman</t>
  </si>
  <si>
    <t xml:space="preserve">         626 Officials' chairman</t>
  </si>
  <si>
    <t xml:space="preserve">         627 Diversity</t>
  </si>
  <si>
    <t xml:space="preserve">         628 Time verification chairman</t>
  </si>
  <si>
    <t xml:space="preserve">         629 Coach</t>
  </si>
  <si>
    <t xml:space="preserve">         630 Safe Sport</t>
  </si>
  <si>
    <t xml:space="preserve">         631 Review chairman</t>
  </si>
  <si>
    <t xml:space="preserve">         633 Disability</t>
  </si>
  <si>
    <t xml:space="preserve">         634 Open Water</t>
  </si>
  <si>
    <t xml:space="preserve">         639 Athlete</t>
  </si>
  <si>
    <t xml:space="preserve">      Total 620 Officer and director expenses</t>
  </si>
  <si>
    <t xml:space="preserve">      632 Officer Salaries</t>
  </si>
  <si>
    <t xml:space="preserve">      635 Operational Risk</t>
  </si>
  <si>
    <t xml:space="preserve">      640 National convention expenses</t>
  </si>
  <si>
    <t xml:space="preserve">         641 Executive director</t>
  </si>
  <si>
    <t xml:space="preserve">         642 General chairman</t>
  </si>
  <si>
    <t xml:space="preserve">         643 Admin vice chairman</t>
  </si>
  <si>
    <t xml:space="preserve">         644 Senior chairman</t>
  </si>
  <si>
    <t xml:space="preserve">         645 Age group chairman</t>
  </si>
  <si>
    <t xml:space="preserve">         646 Athletes</t>
  </si>
  <si>
    <t xml:space="preserve">         647 Other attendees</t>
  </si>
  <si>
    <t xml:space="preserve">         648 Hospitality</t>
  </si>
  <si>
    <t xml:space="preserve">         649 Other</t>
  </si>
  <si>
    <t xml:space="preserve">      Total 640 National convention expenses</t>
  </si>
  <si>
    <t xml:space="preserve">   Total 600 General and administrative</t>
  </si>
  <si>
    <t xml:space="preserve">   615 Management Fees</t>
  </si>
  <si>
    <t xml:space="preserve">   618 Other Office Travel Expenses</t>
  </si>
  <si>
    <t xml:space="preserve">      618-1 Airfare</t>
  </si>
  <si>
    <t xml:space="preserve">      618-2 Hotel</t>
  </si>
  <si>
    <t xml:space="preserve">      618-3 Ground Transportation</t>
  </si>
  <si>
    <t xml:space="preserve">      618-4 Meals and Entertainment</t>
  </si>
  <si>
    <t xml:space="preserve">   Total 618 Other Office Travel Expenses</t>
  </si>
  <si>
    <t>Total Expenses</t>
  </si>
  <si>
    <t>Net Income</t>
  </si>
  <si>
    <t>Southern California Swimming, Inc.</t>
  </si>
  <si>
    <t xml:space="preserve">Budget vs. Actuals: FY 2020 - FY20 P&amp;L </t>
  </si>
  <si>
    <t>Budget 2020</t>
  </si>
  <si>
    <t>Budget 2021</t>
  </si>
  <si>
    <t>per club</t>
  </si>
  <si>
    <t>120 @80</t>
  </si>
  <si>
    <t>40 $230</t>
  </si>
  <si>
    <t>August
Numbers</t>
  </si>
  <si>
    <t>October
Numbers</t>
  </si>
  <si>
    <t>October
Dollars</t>
  </si>
  <si>
    <t>November
Numbers</t>
  </si>
  <si>
    <t>November
Dollars</t>
  </si>
  <si>
    <t>December
Numbers</t>
  </si>
  <si>
    <t>December
Dollars</t>
  </si>
  <si>
    <t>January
Numbers</t>
  </si>
  <si>
    <t>January
Dollars</t>
  </si>
  <si>
    <t>February
Numbers</t>
  </si>
  <si>
    <t>February
Dollars</t>
  </si>
  <si>
    <t>March
Numbers</t>
  </si>
  <si>
    <t>March
Dollars</t>
  </si>
  <si>
    <t>April
Numbers</t>
  </si>
  <si>
    <t>April
Dollars</t>
  </si>
  <si>
    <t>May
Numbers</t>
  </si>
  <si>
    <t>May
Dollars</t>
  </si>
  <si>
    <t>June
Numbers</t>
  </si>
  <si>
    <t>June
Dollars</t>
  </si>
  <si>
    <t>July
Numbers</t>
  </si>
  <si>
    <t>July
Dollars</t>
  </si>
  <si>
    <t>August
Dollars</t>
  </si>
  <si>
    <t>September
Numbers</t>
  </si>
  <si>
    <t>September
Dollars</t>
  </si>
  <si>
    <t>LSC Share</t>
  </si>
  <si>
    <t>Total 
Numbers</t>
  </si>
  <si>
    <t>Total</t>
  </si>
  <si>
    <t xml:space="preserve">Kim 401k </t>
  </si>
  <si>
    <t xml:space="preserve">Insurance </t>
  </si>
  <si>
    <t>Annual</t>
  </si>
  <si>
    <t>total</t>
  </si>
  <si>
    <t xml:space="preserve">Kim phone </t>
  </si>
  <si>
    <t>Nicole ph</t>
  </si>
  <si>
    <t>BOD meetings 4 x 700</t>
  </si>
  <si>
    <t>total income about $43,000 lower than 2020</t>
  </si>
  <si>
    <t xml:space="preserve">         439 Other Transfer from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</si>
</sst>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&quot;$&quot;* #,##0.00\ _€"/>
    <numFmt numFmtId="166" formatCode="&quot;$&quot;#,##0.00"/>
    <numFmt numFmtId="167" formatCode="&quot;$&quot;#,##0"/>
  </numFmts>
  <fonts count="10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horizontal="center" wrapText="1"/>
    </xf>
    <xf numFmtId="165" fontId="2" fillId="0" borderId="6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right" wrapText="1"/>
    </xf>
    <xf numFmtId="0" fontId="0" fillId="0" borderId="0" xfId="0"/>
    <xf numFmtId="166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6" fillId="0" borderId="7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67" fontId="6" fillId="0" borderId="0" xfId="0" applyNumberFormat="1" applyFont="1"/>
    <xf numFmtId="3" fontId="6" fillId="0" borderId="0" xfId="0" applyNumberFormat="1" applyFont="1"/>
    <xf numFmtId="0" fontId="6" fillId="0" borderId="7" xfId="0" applyFont="1" applyBorder="1"/>
    <xf numFmtId="0" fontId="0" fillId="0" borderId="7" xfId="0" applyBorder="1"/>
    <xf numFmtId="0" fontId="6" fillId="0" borderId="7" xfId="0" applyFont="1" applyBorder="1" applyAlignment="1">
      <alignment wrapText="1"/>
    </xf>
    <xf numFmtId="3" fontId="6" fillId="0" borderId="1" xfId="0" applyNumberFormat="1" applyFont="1" applyBorder="1"/>
    <xf numFmtId="0" fontId="0" fillId="0" borderId="1" xfId="0" applyBorder="1"/>
    <xf numFmtId="164" fontId="3" fillId="2" borderId="0" xfId="0" applyNumberFormat="1" applyFont="1" applyFill="1" applyAlignment="1">
      <alignment horizontal="right" wrapText="1"/>
    </xf>
    <xf numFmtId="165" fontId="7" fillId="0" borderId="2" xfId="0" applyNumberFormat="1" applyFont="1" applyBorder="1" applyAlignment="1">
      <alignment horizontal="right" wrapText="1"/>
    </xf>
    <xf numFmtId="165" fontId="8" fillId="0" borderId="3" xfId="0" applyNumberFormat="1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9"/>
  <sheetViews>
    <sheetView tabSelected="1" topLeftCell="A121" workbookViewId="0">
      <selection activeCell="AN136" sqref="AN136"/>
    </sheetView>
  </sheetViews>
  <sheetFormatPr defaultRowHeight="14.25" x14ac:dyDescent="0.45"/>
  <cols>
    <col min="1" max="1" width="41.265625" customWidth="1"/>
    <col min="2" max="3" width="10.265625" hidden="1" customWidth="1"/>
    <col min="4" max="4" width="12" hidden="1" customWidth="1"/>
    <col min="5" max="5" width="10.265625" hidden="1" customWidth="1"/>
    <col min="6" max="7" width="12" hidden="1" customWidth="1"/>
    <col min="8" max="8" width="11.1328125" hidden="1" customWidth="1"/>
    <col min="9" max="10" width="12" hidden="1" customWidth="1"/>
    <col min="11" max="11" width="11.1328125" hidden="1" customWidth="1"/>
    <col min="12" max="13" width="12" hidden="1" customWidth="1"/>
    <col min="14" max="14" width="10.265625" hidden="1" customWidth="1"/>
    <col min="15" max="16" width="12" hidden="1" customWidth="1"/>
    <col min="17" max="17" width="11.1328125" hidden="1" customWidth="1"/>
    <col min="18" max="19" width="12" hidden="1" customWidth="1"/>
    <col min="20" max="21" width="11.1328125" hidden="1" customWidth="1"/>
    <col min="22" max="22" width="12" hidden="1" customWidth="1"/>
    <col min="23" max="23" width="9.3984375" hidden="1" customWidth="1"/>
    <col min="24" max="25" width="11.1328125" hidden="1" customWidth="1"/>
    <col min="26" max="26" width="7.73046875" hidden="1" customWidth="1"/>
    <col min="27" max="28" width="11.1328125" hidden="1" customWidth="1"/>
    <col min="29" max="29" width="7.73046875" hidden="1" customWidth="1"/>
    <col min="30" max="31" width="11.1328125" hidden="1" customWidth="1"/>
    <col min="32" max="32" width="7.73046875" hidden="1" customWidth="1"/>
    <col min="33" max="34" width="11.1328125" hidden="1" customWidth="1"/>
    <col min="35" max="35" width="7.73046875" hidden="1" customWidth="1"/>
    <col min="36" max="37" width="13.73046875" hidden="1" customWidth="1"/>
    <col min="38" max="38" width="12" hidden="1" customWidth="1"/>
    <col min="39" max="39" width="11.1328125" customWidth="1"/>
    <col min="40" max="40" width="13.73046875" customWidth="1"/>
  </cols>
  <sheetData>
    <row r="1" spans="1:44" ht="17.649999999999999" x14ac:dyDescent="0.5">
      <c r="A1" s="33" t="s">
        <v>143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4" ht="17.649999999999999" x14ac:dyDescent="0.5">
      <c r="A2" s="33" t="s">
        <v>144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</row>
    <row r="3" spans="1:44" x14ac:dyDescent="0.45">
      <c r="A3" s="3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</row>
    <row r="5" spans="1:44" x14ac:dyDescent="0.45">
      <c r="A5" s="1"/>
      <c r="B5" s="36" t="s">
        <v>0</v>
      </c>
      <c r="C5" s="37"/>
      <c r="D5" s="37"/>
      <c r="E5" s="36" t="s">
        <v>1</v>
      </c>
      <c r="F5" s="37"/>
      <c r="G5" s="37"/>
      <c r="H5" s="36" t="s">
        <v>2</v>
      </c>
      <c r="I5" s="37"/>
      <c r="J5" s="37"/>
      <c r="K5" s="36" t="s">
        <v>3</v>
      </c>
      <c r="L5" s="37"/>
      <c r="M5" s="37"/>
      <c r="N5" s="36" t="s">
        <v>4</v>
      </c>
      <c r="O5" s="37"/>
      <c r="P5" s="37"/>
      <c r="Q5" s="36" t="s">
        <v>5</v>
      </c>
      <c r="R5" s="37"/>
      <c r="S5" s="37"/>
      <c r="T5" s="36" t="s">
        <v>6</v>
      </c>
      <c r="U5" s="37"/>
      <c r="V5" s="37"/>
      <c r="W5" s="36" t="s">
        <v>7</v>
      </c>
      <c r="X5" s="37"/>
      <c r="Y5" s="37"/>
      <c r="Z5" s="36" t="s">
        <v>8</v>
      </c>
      <c r="AA5" s="37"/>
      <c r="AB5" s="37"/>
      <c r="AC5" s="36" t="s">
        <v>9</v>
      </c>
      <c r="AD5" s="37"/>
      <c r="AE5" s="37"/>
      <c r="AF5" s="36" t="s">
        <v>10</v>
      </c>
      <c r="AG5" s="37"/>
      <c r="AH5" s="37"/>
      <c r="AI5" s="36" t="s">
        <v>11</v>
      </c>
      <c r="AJ5" s="37"/>
      <c r="AK5" s="37"/>
      <c r="AL5" s="36"/>
      <c r="AM5" s="37"/>
      <c r="AN5" s="37"/>
    </row>
    <row r="6" spans="1:44" x14ac:dyDescent="0.45">
      <c r="A6" s="1"/>
      <c r="B6" s="2" t="s">
        <v>12</v>
      </c>
      <c r="C6" s="2" t="s">
        <v>13</v>
      </c>
      <c r="D6" s="2" t="s">
        <v>14</v>
      </c>
      <c r="E6" s="2" t="s">
        <v>12</v>
      </c>
      <c r="F6" s="2" t="s">
        <v>13</v>
      </c>
      <c r="G6" s="2" t="s">
        <v>14</v>
      </c>
      <c r="H6" s="2" t="s">
        <v>12</v>
      </c>
      <c r="I6" s="2" t="s">
        <v>13</v>
      </c>
      <c r="J6" s="2" t="s">
        <v>14</v>
      </c>
      <c r="K6" s="2" t="s">
        <v>12</v>
      </c>
      <c r="L6" s="2" t="s">
        <v>13</v>
      </c>
      <c r="M6" s="2" t="s">
        <v>14</v>
      </c>
      <c r="N6" s="2" t="s">
        <v>12</v>
      </c>
      <c r="O6" s="2" t="s">
        <v>13</v>
      </c>
      <c r="P6" s="2" t="s">
        <v>14</v>
      </c>
      <c r="Q6" s="2" t="s">
        <v>12</v>
      </c>
      <c r="R6" s="2" t="s">
        <v>13</v>
      </c>
      <c r="S6" s="2" t="s">
        <v>14</v>
      </c>
      <c r="T6" s="2" t="s">
        <v>12</v>
      </c>
      <c r="U6" s="2" t="s">
        <v>13</v>
      </c>
      <c r="V6" s="2" t="s">
        <v>14</v>
      </c>
      <c r="W6" s="2" t="s">
        <v>12</v>
      </c>
      <c r="X6" s="2" t="s">
        <v>13</v>
      </c>
      <c r="Y6" s="2" t="s">
        <v>14</v>
      </c>
      <c r="Z6" s="2" t="s">
        <v>12</v>
      </c>
      <c r="AA6" s="2" t="s">
        <v>13</v>
      </c>
      <c r="AB6" s="2" t="s">
        <v>14</v>
      </c>
      <c r="AC6" s="2" t="s">
        <v>12</v>
      </c>
      <c r="AD6" s="2" t="s">
        <v>13</v>
      </c>
      <c r="AE6" s="2" t="s">
        <v>14</v>
      </c>
      <c r="AF6" s="2" t="s">
        <v>12</v>
      </c>
      <c r="AG6" s="2" t="s">
        <v>13</v>
      </c>
      <c r="AH6" s="2" t="s">
        <v>14</v>
      </c>
      <c r="AI6" s="2" t="s">
        <v>12</v>
      </c>
      <c r="AJ6" s="2" t="s">
        <v>13</v>
      </c>
      <c r="AK6" s="2" t="s">
        <v>14</v>
      </c>
      <c r="AL6" s="2" t="s">
        <v>12</v>
      </c>
      <c r="AM6" s="10" t="s">
        <v>145</v>
      </c>
      <c r="AN6" s="2" t="s">
        <v>146</v>
      </c>
    </row>
    <row r="7" spans="1:44" x14ac:dyDescent="0.45">
      <c r="A7" s="3" t="s">
        <v>15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1"/>
      <c r="AN7" s="4"/>
    </row>
    <row r="8" spans="1:44" x14ac:dyDescent="0.45">
      <c r="A8" s="3" t="s">
        <v>16</v>
      </c>
      <c r="B8" s="4"/>
      <c r="C8" s="4"/>
      <c r="D8" s="5">
        <f t="shared" ref="D8:D34" si="0">(C8)-(B8)</f>
        <v>0</v>
      </c>
      <c r="E8" s="4"/>
      <c r="F8" s="4"/>
      <c r="G8" s="5">
        <f t="shared" ref="G8:G34" si="1">(F8)-(E8)</f>
        <v>0</v>
      </c>
      <c r="H8" s="4"/>
      <c r="I8" s="4"/>
      <c r="J8" s="5">
        <f t="shared" ref="J8:J34" si="2">(I8)-(H8)</f>
        <v>0</v>
      </c>
      <c r="K8" s="4"/>
      <c r="L8" s="4"/>
      <c r="M8" s="5">
        <f t="shared" ref="M8:M34" si="3">(L8)-(K8)</f>
        <v>0</v>
      </c>
      <c r="N8" s="4"/>
      <c r="O8" s="4"/>
      <c r="P8" s="5">
        <f t="shared" ref="P8:P34" si="4">(O8)-(N8)</f>
        <v>0</v>
      </c>
      <c r="Q8" s="4"/>
      <c r="R8" s="4"/>
      <c r="S8" s="5">
        <f t="shared" ref="S8:S34" si="5">(R8)-(Q8)</f>
        <v>0</v>
      </c>
      <c r="T8" s="4"/>
      <c r="U8" s="4"/>
      <c r="V8" s="5">
        <f t="shared" ref="V8:V34" si="6">(U8)-(T8)</f>
        <v>0</v>
      </c>
      <c r="W8" s="4"/>
      <c r="X8" s="4"/>
      <c r="Y8" s="5">
        <f t="shared" ref="Y8:Y34" si="7">(X8)-(W8)</f>
        <v>0</v>
      </c>
      <c r="Z8" s="4"/>
      <c r="AA8" s="4"/>
      <c r="AB8" s="5">
        <f t="shared" ref="AB8:AB34" si="8">(AA8)-(Z8)</f>
        <v>0</v>
      </c>
      <c r="AC8" s="4"/>
      <c r="AD8" s="4"/>
      <c r="AE8" s="5">
        <f t="shared" ref="AE8:AE34" si="9">(AD8)-(AC8)</f>
        <v>0</v>
      </c>
      <c r="AF8" s="4"/>
      <c r="AG8" s="4"/>
      <c r="AH8" s="5">
        <f t="shared" ref="AH8:AH34" si="10">(AG8)-(AF8)</f>
        <v>0</v>
      </c>
      <c r="AI8" s="4"/>
      <c r="AJ8" s="4"/>
      <c r="AK8" s="5">
        <f t="shared" ref="AK8:AK34" si="11">(AJ8)-(AI8)</f>
        <v>0</v>
      </c>
      <c r="AL8" s="5">
        <f t="shared" ref="AL8:AL34" si="12">(((((((((((B8)+(E8))+(H8))+(K8))+(N8))+(Q8))+(T8))+(W8))+(Z8))+(AC8))+(AF8))+(AI8)</f>
        <v>0</v>
      </c>
      <c r="AM8" s="12">
        <f t="shared" ref="AM8:AM34" si="13">(((((((((((C8)+(F8))+(I8))+(L8))+(O8))+(R8))+(U8))+(X8))+(AA8))+(AD8))+(AG8))+(AJ8)</f>
        <v>0</v>
      </c>
      <c r="AN8" s="5"/>
    </row>
    <row r="9" spans="1:44" x14ac:dyDescent="0.45">
      <c r="A9" s="3" t="s">
        <v>17</v>
      </c>
      <c r="B9" s="4"/>
      <c r="C9" s="5">
        <f>0</f>
        <v>0</v>
      </c>
      <c r="D9" s="5">
        <f t="shared" si="0"/>
        <v>0</v>
      </c>
      <c r="E9" s="4"/>
      <c r="F9" s="5">
        <f>-3180</f>
        <v>-3180</v>
      </c>
      <c r="G9" s="5">
        <f t="shared" si="1"/>
        <v>-3180</v>
      </c>
      <c r="H9" s="4"/>
      <c r="I9" s="5">
        <f>0</f>
        <v>0</v>
      </c>
      <c r="J9" s="5">
        <f t="shared" si="2"/>
        <v>0</v>
      </c>
      <c r="K9" s="4"/>
      <c r="L9" s="5">
        <f>0</f>
        <v>0</v>
      </c>
      <c r="M9" s="5">
        <f t="shared" si="3"/>
        <v>0</v>
      </c>
      <c r="N9" s="4"/>
      <c r="O9" s="5">
        <f>0</f>
        <v>0</v>
      </c>
      <c r="P9" s="5">
        <f t="shared" si="4"/>
        <v>0</v>
      </c>
      <c r="Q9" s="4"/>
      <c r="R9" s="5">
        <f>0</f>
        <v>0</v>
      </c>
      <c r="S9" s="5">
        <f t="shared" si="5"/>
        <v>0</v>
      </c>
      <c r="T9" s="4"/>
      <c r="U9" s="5">
        <f>53</f>
        <v>53</v>
      </c>
      <c r="V9" s="5">
        <f t="shared" si="6"/>
        <v>53</v>
      </c>
      <c r="W9" s="4"/>
      <c r="X9" s="5">
        <f>0</f>
        <v>0</v>
      </c>
      <c r="Y9" s="5">
        <f t="shared" si="7"/>
        <v>0</v>
      </c>
      <c r="Z9" s="4"/>
      <c r="AA9" s="5">
        <f>0</f>
        <v>0</v>
      </c>
      <c r="AB9" s="5">
        <f t="shared" si="8"/>
        <v>0</v>
      </c>
      <c r="AC9" s="4"/>
      <c r="AD9" s="5">
        <f>0</f>
        <v>0</v>
      </c>
      <c r="AE9" s="5">
        <f t="shared" si="9"/>
        <v>0</v>
      </c>
      <c r="AF9" s="4"/>
      <c r="AG9" s="5">
        <f>0</f>
        <v>0</v>
      </c>
      <c r="AH9" s="5">
        <f t="shared" si="10"/>
        <v>0</v>
      </c>
      <c r="AI9" s="4"/>
      <c r="AJ9" s="5">
        <f>3127</f>
        <v>3127</v>
      </c>
      <c r="AK9" s="5">
        <f t="shared" si="11"/>
        <v>3127</v>
      </c>
      <c r="AL9" s="5">
        <f t="shared" si="12"/>
        <v>0</v>
      </c>
      <c r="AM9" s="12">
        <f t="shared" si="13"/>
        <v>0</v>
      </c>
      <c r="AN9" s="5"/>
    </row>
    <row r="10" spans="1:44" x14ac:dyDescent="0.45">
      <c r="A10" s="3" t="s">
        <v>18</v>
      </c>
      <c r="B10" s="5">
        <f>91195</f>
        <v>91195</v>
      </c>
      <c r="C10" s="5">
        <f>13933.33</f>
        <v>13933.33</v>
      </c>
      <c r="D10" s="5">
        <f t="shared" si="0"/>
        <v>-77261.67</v>
      </c>
      <c r="E10" s="5">
        <f>442970</f>
        <v>442970</v>
      </c>
      <c r="F10" s="5">
        <f>13933.33</f>
        <v>13933.33</v>
      </c>
      <c r="G10" s="5">
        <f t="shared" si="1"/>
        <v>-429036.67</v>
      </c>
      <c r="H10" s="5">
        <f>127041</f>
        <v>127041</v>
      </c>
      <c r="I10" s="5">
        <f>13933.33</f>
        <v>13933.33</v>
      </c>
      <c r="J10" s="5">
        <f t="shared" si="2"/>
        <v>-113107.67</v>
      </c>
      <c r="K10" s="5">
        <f>186662</f>
        <v>186662</v>
      </c>
      <c r="L10" s="5">
        <f>13933.33</f>
        <v>13933.33</v>
      </c>
      <c r="M10" s="5">
        <f t="shared" si="3"/>
        <v>-172728.67</v>
      </c>
      <c r="N10" s="5">
        <f>280163.3</f>
        <v>280163.3</v>
      </c>
      <c r="O10" s="5">
        <f>13933.33</f>
        <v>13933.33</v>
      </c>
      <c r="P10" s="5">
        <f t="shared" si="4"/>
        <v>-266229.96999999997</v>
      </c>
      <c r="Q10" s="5">
        <f>72691</f>
        <v>72691</v>
      </c>
      <c r="R10" s="5">
        <f>13933.33</f>
        <v>13933.33</v>
      </c>
      <c r="S10" s="5">
        <f t="shared" si="5"/>
        <v>-58757.67</v>
      </c>
      <c r="T10" s="5">
        <f>37915</f>
        <v>37915</v>
      </c>
      <c r="U10" s="5">
        <f>13933.33</f>
        <v>13933.33</v>
      </c>
      <c r="V10" s="5">
        <f t="shared" si="6"/>
        <v>-23981.67</v>
      </c>
      <c r="W10" s="5">
        <f>1882</f>
        <v>1882</v>
      </c>
      <c r="X10" s="5">
        <f>13933.33</f>
        <v>13933.33</v>
      </c>
      <c r="Y10" s="5">
        <f t="shared" si="7"/>
        <v>12051.33</v>
      </c>
      <c r="Z10" s="4"/>
      <c r="AA10" s="5">
        <f>13933.33</f>
        <v>13933.33</v>
      </c>
      <c r="AB10" s="5">
        <f t="shared" si="8"/>
        <v>13933.33</v>
      </c>
      <c r="AC10" s="4"/>
      <c r="AD10" s="5">
        <f>13933.33</f>
        <v>13933.33</v>
      </c>
      <c r="AE10" s="5">
        <f t="shared" si="9"/>
        <v>13933.33</v>
      </c>
      <c r="AF10" s="4"/>
      <c r="AG10" s="5">
        <f>13933.33</f>
        <v>13933.33</v>
      </c>
      <c r="AH10" s="5">
        <f t="shared" si="10"/>
        <v>13933.33</v>
      </c>
      <c r="AI10" s="4"/>
      <c r="AJ10" s="5">
        <f>13933.37</f>
        <v>13933.37</v>
      </c>
      <c r="AK10" s="5">
        <f t="shared" si="11"/>
        <v>13933.37</v>
      </c>
      <c r="AL10" s="5">
        <f t="shared" si="12"/>
        <v>1240519.3</v>
      </c>
      <c r="AM10" s="12">
        <f t="shared" si="13"/>
        <v>167199.99999999997</v>
      </c>
      <c r="AN10" s="5">
        <v>139800</v>
      </c>
      <c r="AR10">
        <v>8</v>
      </c>
    </row>
    <row r="11" spans="1:44" x14ac:dyDescent="0.45">
      <c r="A11" s="3" t="s">
        <v>19</v>
      </c>
      <c r="B11" s="5">
        <f>850</f>
        <v>850</v>
      </c>
      <c r="C11" s="5">
        <f>833.33</f>
        <v>833.33</v>
      </c>
      <c r="D11" s="5">
        <f t="shared" si="0"/>
        <v>-16.669999999999959</v>
      </c>
      <c r="E11" s="5">
        <f>826</f>
        <v>826</v>
      </c>
      <c r="F11" s="5">
        <f>833.33</f>
        <v>833.33</v>
      </c>
      <c r="G11" s="5">
        <f t="shared" si="1"/>
        <v>7.3300000000000409</v>
      </c>
      <c r="H11" s="5">
        <f>260</f>
        <v>260</v>
      </c>
      <c r="I11" s="5">
        <f>833.33</f>
        <v>833.33</v>
      </c>
      <c r="J11" s="5">
        <f t="shared" si="2"/>
        <v>573.33000000000004</v>
      </c>
      <c r="K11" s="5">
        <f>230</f>
        <v>230</v>
      </c>
      <c r="L11" s="5">
        <f>833.33</f>
        <v>833.33</v>
      </c>
      <c r="M11" s="5">
        <f t="shared" si="3"/>
        <v>603.33000000000004</v>
      </c>
      <c r="N11" s="5">
        <f>331</f>
        <v>331</v>
      </c>
      <c r="O11" s="5">
        <f>833.33</f>
        <v>833.33</v>
      </c>
      <c r="P11" s="5">
        <f t="shared" si="4"/>
        <v>502.33000000000004</v>
      </c>
      <c r="Q11" s="5">
        <f>520</f>
        <v>520</v>
      </c>
      <c r="R11" s="5">
        <f>833.33</f>
        <v>833.33</v>
      </c>
      <c r="S11" s="5">
        <f t="shared" si="5"/>
        <v>313.33000000000004</v>
      </c>
      <c r="T11" s="5">
        <f>360</f>
        <v>360</v>
      </c>
      <c r="U11" s="5">
        <f>833.33</f>
        <v>833.33</v>
      </c>
      <c r="V11" s="5">
        <f t="shared" si="6"/>
        <v>473.33000000000004</v>
      </c>
      <c r="W11" s="5">
        <f>150</f>
        <v>150</v>
      </c>
      <c r="X11" s="5">
        <f>833.33</f>
        <v>833.33</v>
      </c>
      <c r="Y11" s="5">
        <f t="shared" si="7"/>
        <v>683.33</v>
      </c>
      <c r="Z11" s="4"/>
      <c r="AA11" s="5">
        <f>833.33</f>
        <v>833.33</v>
      </c>
      <c r="AB11" s="5">
        <f t="shared" si="8"/>
        <v>833.33</v>
      </c>
      <c r="AC11" s="4"/>
      <c r="AD11" s="5">
        <f>833.33</f>
        <v>833.33</v>
      </c>
      <c r="AE11" s="5">
        <f t="shared" si="9"/>
        <v>833.33</v>
      </c>
      <c r="AF11" s="4"/>
      <c r="AG11" s="5">
        <f>833.33</f>
        <v>833.33</v>
      </c>
      <c r="AH11" s="5">
        <f t="shared" si="10"/>
        <v>833.33</v>
      </c>
      <c r="AI11" s="4"/>
      <c r="AJ11" s="5">
        <f>833.37</f>
        <v>833.37</v>
      </c>
      <c r="AK11" s="5">
        <f t="shared" si="11"/>
        <v>833.37</v>
      </c>
      <c r="AL11" s="5">
        <f t="shared" si="12"/>
        <v>3527</v>
      </c>
      <c r="AM11" s="12">
        <f t="shared" si="13"/>
        <v>10000.000000000002</v>
      </c>
      <c r="AN11" s="5">
        <v>9600</v>
      </c>
      <c r="AR11">
        <v>10</v>
      </c>
    </row>
    <row r="12" spans="1:44" x14ac:dyDescent="0.45">
      <c r="A12" s="3" t="s">
        <v>20</v>
      </c>
      <c r="B12" s="5">
        <f>5605</f>
        <v>5605</v>
      </c>
      <c r="C12" s="5">
        <f>1000</f>
        <v>1000</v>
      </c>
      <c r="D12" s="5">
        <f t="shared" si="0"/>
        <v>-4605</v>
      </c>
      <c r="E12" s="5">
        <f>11745</f>
        <v>11745</v>
      </c>
      <c r="F12" s="5">
        <f>1000</f>
        <v>1000</v>
      </c>
      <c r="G12" s="5">
        <f t="shared" si="1"/>
        <v>-10745</v>
      </c>
      <c r="H12" s="5">
        <f>7333</f>
        <v>7333</v>
      </c>
      <c r="I12" s="5">
        <f>1000</f>
        <v>1000</v>
      </c>
      <c r="J12" s="5">
        <f t="shared" si="2"/>
        <v>-6333</v>
      </c>
      <c r="K12" s="5">
        <f>9542</f>
        <v>9542</v>
      </c>
      <c r="L12" s="5">
        <f>1000</f>
        <v>1000</v>
      </c>
      <c r="M12" s="5">
        <f t="shared" si="3"/>
        <v>-8542</v>
      </c>
      <c r="N12" s="5">
        <f>10602</f>
        <v>10602</v>
      </c>
      <c r="O12" s="5">
        <f>1000</f>
        <v>1000</v>
      </c>
      <c r="P12" s="5">
        <f t="shared" si="4"/>
        <v>-9602</v>
      </c>
      <c r="Q12" s="5">
        <f>7910</f>
        <v>7910</v>
      </c>
      <c r="R12" s="5">
        <f>1000</f>
        <v>1000</v>
      </c>
      <c r="S12" s="5">
        <f t="shared" si="5"/>
        <v>-6910</v>
      </c>
      <c r="T12" s="5">
        <f>1620</f>
        <v>1620</v>
      </c>
      <c r="U12" s="5">
        <f>1000</f>
        <v>1000</v>
      </c>
      <c r="V12" s="5">
        <f t="shared" si="6"/>
        <v>-620</v>
      </c>
      <c r="W12" s="5">
        <f>840</f>
        <v>840</v>
      </c>
      <c r="X12" s="5">
        <f>1000</f>
        <v>1000</v>
      </c>
      <c r="Y12" s="5">
        <f t="shared" si="7"/>
        <v>160</v>
      </c>
      <c r="Z12" s="4"/>
      <c r="AA12" s="5">
        <f>1000</f>
        <v>1000</v>
      </c>
      <c r="AB12" s="5">
        <f t="shared" si="8"/>
        <v>1000</v>
      </c>
      <c r="AC12" s="4"/>
      <c r="AD12" s="5">
        <f>1000</f>
        <v>1000</v>
      </c>
      <c r="AE12" s="5">
        <f t="shared" si="9"/>
        <v>1000</v>
      </c>
      <c r="AF12" s="4"/>
      <c r="AG12" s="5">
        <f>1000</f>
        <v>1000</v>
      </c>
      <c r="AH12" s="5">
        <f t="shared" si="10"/>
        <v>1000</v>
      </c>
      <c r="AI12" s="4"/>
      <c r="AJ12" s="5">
        <f>1000</f>
        <v>1000</v>
      </c>
      <c r="AK12" s="5">
        <f t="shared" si="11"/>
        <v>1000</v>
      </c>
      <c r="AL12" s="5">
        <f t="shared" si="12"/>
        <v>55197</v>
      </c>
      <c r="AM12" s="12">
        <f t="shared" si="13"/>
        <v>12000</v>
      </c>
      <c r="AN12" s="5">
        <v>11800</v>
      </c>
      <c r="AR12">
        <v>8</v>
      </c>
    </row>
    <row r="13" spans="1:44" x14ac:dyDescent="0.45">
      <c r="A13" s="3" t="s">
        <v>21</v>
      </c>
      <c r="B13" s="5">
        <f>2502</f>
        <v>2502</v>
      </c>
      <c r="C13" s="5">
        <f>1500</f>
        <v>1500</v>
      </c>
      <c r="D13" s="5">
        <f t="shared" si="0"/>
        <v>-1002</v>
      </c>
      <c r="E13" s="5">
        <f>16620</f>
        <v>16620</v>
      </c>
      <c r="F13" s="5">
        <f>1500</f>
        <v>1500</v>
      </c>
      <c r="G13" s="5">
        <f t="shared" si="1"/>
        <v>-15120</v>
      </c>
      <c r="H13" s="5">
        <f>4228</f>
        <v>4228</v>
      </c>
      <c r="I13" s="5">
        <f>1500</f>
        <v>1500</v>
      </c>
      <c r="J13" s="5">
        <f t="shared" si="2"/>
        <v>-2728</v>
      </c>
      <c r="K13" s="5">
        <f>3860</f>
        <v>3860</v>
      </c>
      <c r="L13" s="5">
        <f>1500</f>
        <v>1500</v>
      </c>
      <c r="M13" s="5">
        <f t="shared" si="3"/>
        <v>-2360</v>
      </c>
      <c r="N13" s="5">
        <f>1050</f>
        <v>1050</v>
      </c>
      <c r="O13" s="5">
        <f>1500</f>
        <v>1500</v>
      </c>
      <c r="P13" s="5">
        <f t="shared" si="4"/>
        <v>450</v>
      </c>
      <c r="Q13" s="5">
        <f>2487</f>
        <v>2487</v>
      </c>
      <c r="R13" s="5">
        <f>1500</f>
        <v>1500</v>
      </c>
      <c r="S13" s="5">
        <f t="shared" si="5"/>
        <v>-987</v>
      </c>
      <c r="T13" s="5">
        <f>2760</f>
        <v>2760</v>
      </c>
      <c r="U13" s="5">
        <f>1500</f>
        <v>1500</v>
      </c>
      <c r="V13" s="5">
        <f t="shared" si="6"/>
        <v>-1260</v>
      </c>
      <c r="W13" s="5">
        <f>20</f>
        <v>20</v>
      </c>
      <c r="X13" s="5">
        <f>1500</f>
        <v>1500</v>
      </c>
      <c r="Y13" s="5">
        <f t="shared" si="7"/>
        <v>1480</v>
      </c>
      <c r="Z13" s="4"/>
      <c r="AA13" s="5">
        <f>1500</f>
        <v>1500</v>
      </c>
      <c r="AB13" s="5">
        <f t="shared" si="8"/>
        <v>1500</v>
      </c>
      <c r="AC13" s="4"/>
      <c r="AD13" s="5">
        <f>1500</f>
        <v>1500</v>
      </c>
      <c r="AE13" s="5">
        <f t="shared" si="9"/>
        <v>1500</v>
      </c>
      <c r="AF13" s="4"/>
      <c r="AG13" s="5">
        <f>1500</f>
        <v>1500</v>
      </c>
      <c r="AH13" s="5">
        <f t="shared" si="10"/>
        <v>1500</v>
      </c>
      <c r="AI13" s="4"/>
      <c r="AJ13" s="5">
        <f>1500</f>
        <v>1500</v>
      </c>
      <c r="AK13" s="5">
        <f t="shared" si="11"/>
        <v>1500</v>
      </c>
      <c r="AL13" s="5">
        <f t="shared" si="12"/>
        <v>33527</v>
      </c>
      <c r="AM13" s="12">
        <f t="shared" si="13"/>
        <v>18000</v>
      </c>
      <c r="AN13" s="5">
        <v>25620</v>
      </c>
      <c r="AR13">
        <v>10</v>
      </c>
    </row>
    <row r="14" spans="1:44" x14ac:dyDescent="0.45">
      <c r="A14" s="3" t="s">
        <v>22</v>
      </c>
      <c r="B14" s="5">
        <f>806</f>
        <v>806</v>
      </c>
      <c r="C14" s="5">
        <f>233.33</f>
        <v>233.33</v>
      </c>
      <c r="D14" s="5">
        <f t="shared" si="0"/>
        <v>-572.66999999999996</v>
      </c>
      <c r="E14" s="5">
        <f>1283</f>
        <v>1283</v>
      </c>
      <c r="F14" s="5">
        <f>233.33</f>
        <v>233.33</v>
      </c>
      <c r="G14" s="5">
        <f t="shared" si="1"/>
        <v>-1049.67</v>
      </c>
      <c r="H14" s="5">
        <f>1645</f>
        <v>1645</v>
      </c>
      <c r="I14" s="5">
        <f>233.33</f>
        <v>233.33</v>
      </c>
      <c r="J14" s="5">
        <f t="shared" si="2"/>
        <v>-1411.67</v>
      </c>
      <c r="K14" s="5">
        <f>364</f>
        <v>364</v>
      </c>
      <c r="L14" s="5">
        <f>233.33</f>
        <v>233.33</v>
      </c>
      <c r="M14" s="5">
        <f t="shared" si="3"/>
        <v>-130.66999999999999</v>
      </c>
      <c r="N14" s="5">
        <f>1652</f>
        <v>1652</v>
      </c>
      <c r="O14" s="5">
        <f>233.33</f>
        <v>233.33</v>
      </c>
      <c r="P14" s="5">
        <f t="shared" si="4"/>
        <v>-1418.67</v>
      </c>
      <c r="Q14" s="5">
        <f>980</f>
        <v>980</v>
      </c>
      <c r="R14" s="5">
        <f>233.33</f>
        <v>233.33</v>
      </c>
      <c r="S14" s="5">
        <f t="shared" si="5"/>
        <v>-746.67</v>
      </c>
      <c r="T14" s="5">
        <f>471</f>
        <v>471</v>
      </c>
      <c r="U14" s="5">
        <f>233.33</f>
        <v>233.33</v>
      </c>
      <c r="V14" s="5">
        <f t="shared" si="6"/>
        <v>-237.67</v>
      </c>
      <c r="W14" s="5">
        <f>7</f>
        <v>7</v>
      </c>
      <c r="X14" s="5">
        <f>233.33</f>
        <v>233.33</v>
      </c>
      <c r="Y14" s="5">
        <f t="shared" si="7"/>
        <v>226.33</v>
      </c>
      <c r="Z14" s="4"/>
      <c r="AA14" s="5">
        <f>233.33</f>
        <v>233.33</v>
      </c>
      <c r="AB14" s="5">
        <f t="shared" si="8"/>
        <v>233.33</v>
      </c>
      <c r="AC14" s="4"/>
      <c r="AD14" s="5">
        <f>233.33</f>
        <v>233.33</v>
      </c>
      <c r="AE14" s="5">
        <f t="shared" si="9"/>
        <v>233.33</v>
      </c>
      <c r="AF14" s="4"/>
      <c r="AG14" s="5">
        <f>233.33</f>
        <v>233.33</v>
      </c>
      <c r="AH14" s="5">
        <f t="shared" si="10"/>
        <v>233.33</v>
      </c>
      <c r="AI14" s="4"/>
      <c r="AJ14" s="5">
        <f>233.37</f>
        <v>233.37</v>
      </c>
      <c r="AK14" s="5">
        <f t="shared" si="11"/>
        <v>233.37</v>
      </c>
      <c r="AL14" s="5">
        <f t="shared" si="12"/>
        <v>7208</v>
      </c>
      <c r="AM14" s="12">
        <f t="shared" si="13"/>
        <v>2799.9999999999995</v>
      </c>
      <c r="AN14" s="5">
        <v>2984</v>
      </c>
      <c r="AR14">
        <v>2</v>
      </c>
    </row>
    <row r="15" spans="1:44" x14ac:dyDescent="0.45">
      <c r="A15" s="3" t="s">
        <v>23</v>
      </c>
      <c r="B15" s="5">
        <f>314</f>
        <v>314</v>
      </c>
      <c r="C15" s="5">
        <f>894.67</f>
        <v>894.67</v>
      </c>
      <c r="D15" s="5">
        <f t="shared" si="0"/>
        <v>580.66999999999996</v>
      </c>
      <c r="E15" s="4"/>
      <c r="F15" s="5">
        <f>894.67</f>
        <v>894.67</v>
      </c>
      <c r="G15" s="5">
        <f t="shared" si="1"/>
        <v>894.67</v>
      </c>
      <c r="H15" s="4"/>
      <c r="I15" s="5">
        <f>894.67</f>
        <v>894.67</v>
      </c>
      <c r="J15" s="5">
        <f t="shared" si="2"/>
        <v>894.67</v>
      </c>
      <c r="K15" s="4"/>
      <c r="L15" s="5">
        <f>894.67</f>
        <v>894.67</v>
      </c>
      <c r="M15" s="5">
        <f t="shared" si="3"/>
        <v>894.67</v>
      </c>
      <c r="N15" s="4"/>
      <c r="O15" s="5">
        <f>894.67</f>
        <v>894.67</v>
      </c>
      <c r="P15" s="5">
        <f t="shared" si="4"/>
        <v>894.67</v>
      </c>
      <c r="Q15" s="4"/>
      <c r="R15" s="5">
        <f>894.67</f>
        <v>894.67</v>
      </c>
      <c r="S15" s="5">
        <f t="shared" si="5"/>
        <v>894.67</v>
      </c>
      <c r="T15" s="4"/>
      <c r="U15" s="5">
        <f>894.67</f>
        <v>894.67</v>
      </c>
      <c r="V15" s="5">
        <f t="shared" si="6"/>
        <v>894.67</v>
      </c>
      <c r="W15" s="4"/>
      <c r="X15" s="5">
        <f>894.67</f>
        <v>894.67</v>
      </c>
      <c r="Y15" s="5">
        <f t="shared" si="7"/>
        <v>894.67</v>
      </c>
      <c r="Z15" s="4"/>
      <c r="AA15" s="5">
        <f>894.67</f>
        <v>894.67</v>
      </c>
      <c r="AB15" s="5">
        <f t="shared" si="8"/>
        <v>894.67</v>
      </c>
      <c r="AC15" s="4"/>
      <c r="AD15" s="5">
        <f>894.67</f>
        <v>894.67</v>
      </c>
      <c r="AE15" s="5">
        <f t="shared" si="9"/>
        <v>894.67</v>
      </c>
      <c r="AF15" s="4"/>
      <c r="AG15" s="5">
        <f>894.67</f>
        <v>894.67</v>
      </c>
      <c r="AH15" s="5">
        <f t="shared" si="10"/>
        <v>894.67</v>
      </c>
      <c r="AI15" s="4"/>
      <c r="AJ15" s="5">
        <f>894.63</f>
        <v>894.63</v>
      </c>
      <c r="AK15" s="5">
        <f t="shared" si="11"/>
        <v>894.63</v>
      </c>
      <c r="AL15" s="5">
        <f t="shared" si="12"/>
        <v>314</v>
      </c>
      <c r="AM15" s="12">
        <f t="shared" si="13"/>
        <v>10735.999999999998</v>
      </c>
      <c r="AN15" s="5">
        <v>5656</v>
      </c>
      <c r="AR15">
        <v>8</v>
      </c>
    </row>
    <row r="16" spans="1:44" x14ac:dyDescent="0.45">
      <c r="A16" s="3" t="s">
        <v>24</v>
      </c>
      <c r="B16" s="4"/>
      <c r="C16" s="5">
        <f>0.83</f>
        <v>0.83</v>
      </c>
      <c r="D16" s="5">
        <f t="shared" si="0"/>
        <v>0.83</v>
      </c>
      <c r="E16" s="4"/>
      <c r="F16" s="5">
        <f>0.83</f>
        <v>0.83</v>
      </c>
      <c r="G16" s="5">
        <f t="shared" si="1"/>
        <v>0.83</v>
      </c>
      <c r="H16" s="4"/>
      <c r="I16" s="5">
        <f>0.83</f>
        <v>0.83</v>
      </c>
      <c r="J16" s="5">
        <f t="shared" si="2"/>
        <v>0.83</v>
      </c>
      <c r="K16" s="4"/>
      <c r="L16" s="5">
        <f>0.83</f>
        <v>0.83</v>
      </c>
      <c r="M16" s="5">
        <f t="shared" si="3"/>
        <v>0.83</v>
      </c>
      <c r="N16" s="4"/>
      <c r="O16" s="5">
        <f>0.83</f>
        <v>0.83</v>
      </c>
      <c r="P16" s="5">
        <f t="shared" si="4"/>
        <v>0.83</v>
      </c>
      <c r="Q16" s="4"/>
      <c r="R16" s="5">
        <f>0.83</f>
        <v>0.83</v>
      </c>
      <c r="S16" s="5">
        <f t="shared" si="5"/>
        <v>0.83</v>
      </c>
      <c r="T16" s="4"/>
      <c r="U16" s="5">
        <f>0.83</f>
        <v>0.83</v>
      </c>
      <c r="V16" s="5">
        <f t="shared" si="6"/>
        <v>0.83</v>
      </c>
      <c r="W16" s="4"/>
      <c r="X16" s="5">
        <f>0.83</f>
        <v>0.83</v>
      </c>
      <c r="Y16" s="5">
        <f t="shared" si="7"/>
        <v>0.83</v>
      </c>
      <c r="Z16" s="4"/>
      <c r="AA16" s="5">
        <f>0.83</f>
        <v>0.83</v>
      </c>
      <c r="AB16" s="5">
        <f t="shared" si="8"/>
        <v>0.83</v>
      </c>
      <c r="AC16" s="4"/>
      <c r="AD16" s="5">
        <f>0.83</f>
        <v>0.83</v>
      </c>
      <c r="AE16" s="5">
        <f t="shared" si="9"/>
        <v>0.83</v>
      </c>
      <c r="AF16" s="4"/>
      <c r="AG16" s="5">
        <f>0.83</f>
        <v>0.83</v>
      </c>
      <c r="AH16" s="5">
        <f t="shared" si="10"/>
        <v>0.83</v>
      </c>
      <c r="AI16" s="4"/>
      <c r="AJ16" s="5">
        <f>0.87</f>
        <v>0.87</v>
      </c>
      <c r="AK16" s="5">
        <f t="shared" si="11"/>
        <v>0.87</v>
      </c>
      <c r="AL16" s="5">
        <f t="shared" si="12"/>
        <v>0</v>
      </c>
      <c r="AM16" s="12">
        <f t="shared" si="13"/>
        <v>9.9999999999999982</v>
      </c>
      <c r="AN16" s="5">
        <v>0</v>
      </c>
      <c r="AR16">
        <v>0</v>
      </c>
    </row>
    <row r="17" spans="1:47" x14ac:dyDescent="0.45">
      <c r="A17" s="3" t="s">
        <v>25</v>
      </c>
      <c r="B17" s="5">
        <f>2700</f>
        <v>2700</v>
      </c>
      <c r="C17" s="5">
        <f>1200</f>
        <v>1200</v>
      </c>
      <c r="D17" s="5">
        <f t="shared" si="0"/>
        <v>-1500</v>
      </c>
      <c r="E17" s="5">
        <f>5850</f>
        <v>5850</v>
      </c>
      <c r="F17" s="5">
        <f>1200</f>
        <v>1200</v>
      </c>
      <c r="G17" s="5">
        <f t="shared" si="1"/>
        <v>-4650</v>
      </c>
      <c r="H17" s="5">
        <f>4350</f>
        <v>4350</v>
      </c>
      <c r="I17" s="5">
        <f>1200</f>
        <v>1200</v>
      </c>
      <c r="J17" s="5">
        <f t="shared" si="2"/>
        <v>-3150</v>
      </c>
      <c r="K17" s="5">
        <f>7500</f>
        <v>7500</v>
      </c>
      <c r="L17" s="5">
        <f>1200</f>
        <v>1200</v>
      </c>
      <c r="M17" s="5">
        <f t="shared" si="3"/>
        <v>-6300</v>
      </c>
      <c r="N17" s="5">
        <f>3300</f>
        <v>3300</v>
      </c>
      <c r="O17" s="5">
        <f>1200</f>
        <v>1200</v>
      </c>
      <c r="P17" s="5">
        <f t="shared" si="4"/>
        <v>-2100</v>
      </c>
      <c r="Q17" s="5">
        <f>1650</f>
        <v>1650</v>
      </c>
      <c r="R17" s="5">
        <f>1200</f>
        <v>1200</v>
      </c>
      <c r="S17" s="5">
        <f t="shared" si="5"/>
        <v>-450</v>
      </c>
      <c r="T17" s="4"/>
      <c r="U17" s="5">
        <f>1200</f>
        <v>1200</v>
      </c>
      <c r="V17" s="5">
        <f t="shared" si="6"/>
        <v>1200</v>
      </c>
      <c r="W17" s="4"/>
      <c r="X17" s="5">
        <f>1200</f>
        <v>1200</v>
      </c>
      <c r="Y17" s="5">
        <f t="shared" si="7"/>
        <v>1200</v>
      </c>
      <c r="Z17" s="4"/>
      <c r="AA17" s="5">
        <f>1200</f>
        <v>1200</v>
      </c>
      <c r="AB17" s="5">
        <f t="shared" si="8"/>
        <v>1200</v>
      </c>
      <c r="AC17" s="4"/>
      <c r="AD17" s="5">
        <f>1200</f>
        <v>1200</v>
      </c>
      <c r="AE17" s="5">
        <f t="shared" si="9"/>
        <v>1200</v>
      </c>
      <c r="AF17" s="4"/>
      <c r="AG17" s="5">
        <f>1200</f>
        <v>1200</v>
      </c>
      <c r="AH17" s="5">
        <f t="shared" si="10"/>
        <v>1200</v>
      </c>
      <c r="AI17" s="4"/>
      <c r="AJ17" s="5">
        <f>1200</f>
        <v>1200</v>
      </c>
      <c r="AK17" s="5">
        <f t="shared" si="11"/>
        <v>1200</v>
      </c>
      <c r="AL17" s="5">
        <f t="shared" si="12"/>
        <v>25350</v>
      </c>
      <c r="AM17" s="12">
        <f t="shared" si="13"/>
        <v>14400</v>
      </c>
      <c r="AN17" s="5">
        <v>12960</v>
      </c>
      <c r="AR17">
        <v>80</v>
      </c>
      <c r="AS17" t="s">
        <v>147</v>
      </c>
      <c r="AT17" t="s">
        <v>148</v>
      </c>
      <c r="AU17" t="s">
        <v>149</v>
      </c>
    </row>
    <row r="18" spans="1:47" x14ac:dyDescent="0.45">
      <c r="A18" s="3" t="s">
        <v>26</v>
      </c>
      <c r="B18" s="5">
        <f>227</f>
        <v>227</v>
      </c>
      <c r="C18" s="5">
        <f>0</f>
        <v>0</v>
      </c>
      <c r="D18" s="5">
        <f t="shared" si="0"/>
        <v>-227</v>
      </c>
      <c r="E18" s="5">
        <f>-43.75</f>
        <v>-43.75</v>
      </c>
      <c r="F18" s="5">
        <f>-33662.5</f>
        <v>-33662.5</v>
      </c>
      <c r="G18" s="5">
        <f t="shared" si="1"/>
        <v>-33618.75</v>
      </c>
      <c r="H18" s="5">
        <f>-3729.25</f>
        <v>-3729.25</v>
      </c>
      <c r="I18" s="5">
        <f>30222</f>
        <v>30222</v>
      </c>
      <c r="J18" s="5">
        <f t="shared" si="2"/>
        <v>33951.25</v>
      </c>
      <c r="K18" s="5">
        <f>2925</f>
        <v>2925</v>
      </c>
      <c r="L18" s="5">
        <f>865</f>
        <v>865</v>
      </c>
      <c r="M18" s="5">
        <f t="shared" si="3"/>
        <v>-2060</v>
      </c>
      <c r="N18" s="4"/>
      <c r="O18" s="5">
        <f>644</f>
        <v>644</v>
      </c>
      <c r="P18" s="5">
        <f t="shared" si="4"/>
        <v>644</v>
      </c>
      <c r="Q18" s="5">
        <f>1827</f>
        <v>1827</v>
      </c>
      <c r="R18" s="5">
        <f>0</f>
        <v>0</v>
      </c>
      <c r="S18" s="5">
        <f t="shared" si="5"/>
        <v>-1827</v>
      </c>
      <c r="T18" s="5">
        <f>-4042.75</f>
        <v>-4042.75</v>
      </c>
      <c r="U18" s="5">
        <f>922</f>
        <v>922</v>
      </c>
      <c r="V18" s="5">
        <f t="shared" si="6"/>
        <v>4964.75</v>
      </c>
      <c r="W18" s="4"/>
      <c r="X18" s="5">
        <f>-4202</f>
        <v>-4202</v>
      </c>
      <c r="Y18" s="5">
        <f t="shared" si="7"/>
        <v>-4202</v>
      </c>
      <c r="Z18" s="4"/>
      <c r="AA18" s="5">
        <f>2704</f>
        <v>2704</v>
      </c>
      <c r="AB18" s="5">
        <f t="shared" si="8"/>
        <v>2704</v>
      </c>
      <c r="AC18" s="4"/>
      <c r="AD18" s="5">
        <f>538</f>
        <v>538</v>
      </c>
      <c r="AE18" s="5">
        <f t="shared" si="9"/>
        <v>538</v>
      </c>
      <c r="AF18" s="4"/>
      <c r="AG18" s="5">
        <f>20</f>
        <v>20</v>
      </c>
      <c r="AH18" s="5">
        <f t="shared" si="10"/>
        <v>20</v>
      </c>
      <c r="AI18" s="4"/>
      <c r="AJ18" s="5">
        <f>1949.5</f>
        <v>1949.5</v>
      </c>
      <c r="AK18" s="5">
        <f t="shared" si="11"/>
        <v>1949.5</v>
      </c>
      <c r="AL18" s="5">
        <f t="shared" si="12"/>
        <v>-2836.75</v>
      </c>
      <c r="AM18" s="12">
        <f t="shared" si="13"/>
        <v>0</v>
      </c>
      <c r="AN18" s="5"/>
    </row>
    <row r="19" spans="1:47" x14ac:dyDescent="0.45">
      <c r="A19" s="3" t="s">
        <v>27</v>
      </c>
      <c r="B19" s="6">
        <f>(((((((((B9)+(B10))+(B11))+(B12))+(B13))+(B14))+(B15))+(B16))+(B17))+(B18)</f>
        <v>104199</v>
      </c>
      <c r="C19" s="6">
        <f>(((((((((C9)+(C10))+(C11))+(C12))+(C13))+(C14))+(C15))+(C16))+(C17))+(C18)</f>
        <v>19595.490000000002</v>
      </c>
      <c r="D19" s="6">
        <f t="shared" si="0"/>
        <v>-84603.51</v>
      </c>
      <c r="E19" s="6">
        <f>(((((((((E9)+(E10))+(E11))+(E12))+(E13))+(E14))+(E15))+(E16))+(E17))+(E18)</f>
        <v>479250.25</v>
      </c>
      <c r="F19" s="6">
        <f>(((((((((F9)+(F10))+(F11))+(F12))+(F13))+(F14))+(F15))+(F16))+(F17))+(F18)</f>
        <v>-17247.010000000002</v>
      </c>
      <c r="G19" s="6">
        <f t="shared" si="1"/>
        <v>-496497.26</v>
      </c>
      <c r="H19" s="6">
        <f>(((((((((H9)+(H10))+(H11))+(H12))+(H13))+(H14))+(H15))+(H16))+(H17))+(H18)</f>
        <v>141127.75</v>
      </c>
      <c r="I19" s="6">
        <f>(((((((((I9)+(I10))+(I11))+(I12))+(I13))+(I14))+(I15))+(I16))+(I17))+(I18)</f>
        <v>49817.490000000005</v>
      </c>
      <c r="J19" s="6">
        <f t="shared" si="2"/>
        <v>-91310.26</v>
      </c>
      <c r="K19" s="6">
        <f>(((((((((K9)+(K10))+(K11))+(K12))+(K13))+(K14))+(K15))+(K16))+(K17))+(K18)</f>
        <v>211083</v>
      </c>
      <c r="L19" s="6">
        <f>(((((((((L9)+(L10))+(L11))+(L12))+(L13))+(L14))+(L15))+(L16))+(L17))+(L18)</f>
        <v>20460.490000000002</v>
      </c>
      <c r="M19" s="6">
        <f t="shared" si="3"/>
        <v>-190622.51</v>
      </c>
      <c r="N19" s="6">
        <f>(((((((((N9)+(N10))+(N11))+(N12))+(N13))+(N14))+(N15))+(N16))+(N17))+(N18)</f>
        <v>297098.3</v>
      </c>
      <c r="O19" s="6">
        <f>(((((((((O9)+(O10))+(O11))+(O12))+(O13))+(O14))+(O15))+(O16))+(O17))+(O18)</f>
        <v>20239.490000000002</v>
      </c>
      <c r="P19" s="6">
        <f t="shared" si="4"/>
        <v>-276858.81</v>
      </c>
      <c r="Q19" s="6">
        <f>(((((((((Q9)+(Q10))+(Q11))+(Q12))+(Q13))+(Q14))+(Q15))+(Q16))+(Q17))+(Q18)</f>
        <v>88065</v>
      </c>
      <c r="R19" s="6">
        <f>(((((((((R9)+(R10))+(R11))+(R12))+(R13))+(R14))+(R15))+(R16))+(R17))+(R18)</f>
        <v>19595.490000000002</v>
      </c>
      <c r="S19" s="6">
        <f t="shared" si="5"/>
        <v>-68469.509999999995</v>
      </c>
      <c r="T19" s="6">
        <f>(((((((((T9)+(T10))+(T11))+(T12))+(T13))+(T14))+(T15))+(T16))+(T17))+(T18)</f>
        <v>39083.25</v>
      </c>
      <c r="U19" s="6">
        <f>(((((((((U9)+(U10))+(U11))+(U12))+(U13))+(U14))+(U15))+(U16))+(U17))+(U18)</f>
        <v>20570.490000000002</v>
      </c>
      <c r="V19" s="6">
        <f t="shared" si="6"/>
        <v>-18512.759999999998</v>
      </c>
      <c r="W19" s="6">
        <f>(((((((((W9)+(W10))+(W11))+(W12))+(W13))+(W14))+(W15))+(W16))+(W17))+(W18)</f>
        <v>2899</v>
      </c>
      <c r="X19" s="6">
        <f>(((((((((X9)+(X10))+(X11))+(X12))+(X13))+(X14))+(X15))+(X16))+(X17))+(X18)</f>
        <v>15393.490000000002</v>
      </c>
      <c r="Y19" s="6">
        <f t="shared" si="7"/>
        <v>12494.490000000002</v>
      </c>
      <c r="Z19" s="6">
        <f>(((((((((Z9)+(Z10))+(Z11))+(Z12))+(Z13))+(Z14))+(Z15))+(Z16))+(Z17))+(Z18)</f>
        <v>0</v>
      </c>
      <c r="AA19" s="6">
        <f>(((((((((AA9)+(AA10))+(AA11))+(AA12))+(AA13))+(AA14))+(AA15))+(AA16))+(AA17))+(AA18)</f>
        <v>22299.49</v>
      </c>
      <c r="AB19" s="6">
        <f t="shared" si="8"/>
        <v>22299.49</v>
      </c>
      <c r="AC19" s="6">
        <f>(((((((((AC9)+(AC10))+(AC11))+(AC12))+(AC13))+(AC14))+(AC15))+(AC16))+(AC17))+(AC18)</f>
        <v>0</v>
      </c>
      <c r="AD19" s="6">
        <f>(((((((((AD9)+(AD10))+(AD11))+(AD12))+(AD13))+(AD14))+(AD15))+(AD16))+(AD17))+(AD18)</f>
        <v>20133.490000000002</v>
      </c>
      <c r="AE19" s="6">
        <f t="shared" si="9"/>
        <v>20133.490000000002</v>
      </c>
      <c r="AF19" s="6">
        <f>(((((((((AF9)+(AF10))+(AF11))+(AF12))+(AF13))+(AF14))+(AF15))+(AF16))+(AF17))+(AF18)</f>
        <v>0</v>
      </c>
      <c r="AG19" s="6">
        <f>(((((((((AG9)+(AG10))+(AG11))+(AG12))+(AG13))+(AG14))+(AG15))+(AG16))+(AG17))+(AG18)</f>
        <v>19615.490000000002</v>
      </c>
      <c r="AH19" s="6">
        <f t="shared" si="10"/>
        <v>19615.490000000002</v>
      </c>
      <c r="AI19" s="6">
        <f>(((((((((AI9)+(AI10))+(AI11))+(AI12))+(AI13))+(AI14))+(AI15))+(AI16))+(AI17))+(AI18)</f>
        <v>0</v>
      </c>
      <c r="AJ19" s="6">
        <f>(((((((((AJ9)+(AJ10))+(AJ11))+(AJ12))+(AJ13))+(AJ14))+(AJ15))+(AJ16))+(AJ17))+(AJ18)</f>
        <v>24672.11</v>
      </c>
      <c r="AK19" s="6">
        <f t="shared" si="11"/>
        <v>24672.11</v>
      </c>
      <c r="AL19" s="6">
        <f t="shared" si="12"/>
        <v>1362805.55</v>
      </c>
      <c r="AM19" s="13">
        <f t="shared" si="13"/>
        <v>235146</v>
      </c>
      <c r="AN19" s="6">
        <v>208420</v>
      </c>
    </row>
    <row r="20" spans="1:47" x14ac:dyDescent="0.45">
      <c r="A20" s="3" t="s">
        <v>28</v>
      </c>
      <c r="B20" s="4"/>
      <c r="C20" s="5">
        <f>12083.33</f>
        <v>12083.33</v>
      </c>
      <c r="D20" s="5">
        <f t="shared" si="0"/>
        <v>12083.33</v>
      </c>
      <c r="E20" s="4"/>
      <c r="F20" s="5">
        <f>12083.33</f>
        <v>12083.33</v>
      </c>
      <c r="G20" s="5">
        <f t="shared" si="1"/>
        <v>12083.33</v>
      </c>
      <c r="H20" s="4"/>
      <c r="I20" s="5">
        <f>12083.33</f>
        <v>12083.33</v>
      </c>
      <c r="J20" s="5">
        <f t="shared" si="2"/>
        <v>12083.33</v>
      </c>
      <c r="K20" s="4"/>
      <c r="L20" s="5">
        <f>12083.33</f>
        <v>12083.33</v>
      </c>
      <c r="M20" s="5">
        <f t="shared" si="3"/>
        <v>12083.33</v>
      </c>
      <c r="N20" s="4"/>
      <c r="O20" s="5">
        <f>12083.33</f>
        <v>12083.33</v>
      </c>
      <c r="P20" s="5">
        <f t="shared" si="4"/>
        <v>12083.33</v>
      </c>
      <c r="Q20" s="4"/>
      <c r="R20" s="5">
        <f>12083.33</f>
        <v>12083.33</v>
      </c>
      <c r="S20" s="5">
        <f t="shared" si="5"/>
        <v>12083.33</v>
      </c>
      <c r="T20" s="4"/>
      <c r="U20" s="5">
        <f>12083.33</f>
        <v>12083.33</v>
      </c>
      <c r="V20" s="5">
        <f t="shared" si="6"/>
        <v>12083.33</v>
      </c>
      <c r="W20" s="4"/>
      <c r="X20" s="5">
        <f>12083.33</f>
        <v>12083.33</v>
      </c>
      <c r="Y20" s="5">
        <f t="shared" si="7"/>
        <v>12083.33</v>
      </c>
      <c r="Z20" s="4"/>
      <c r="AA20" s="5">
        <f>12083.33</f>
        <v>12083.33</v>
      </c>
      <c r="AB20" s="5">
        <f t="shared" si="8"/>
        <v>12083.33</v>
      </c>
      <c r="AC20" s="4"/>
      <c r="AD20" s="5">
        <f>12083.33</f>
        <v>12083.33</v>
      </c>
      <c r="AE20" s="5">
        <f t="shared" si="9"/>
        <v>12083.33</v>
      </c>
      <c r="AF20" s="4"/>
      <c r="AG20" s="5">
        <f>12083.33</f>
        <v>12083.33</v>
      </c>
      <c r="AH20" s="5">
        <f t="shared" si="10"/>
        <v>12083.33</v>
      </c>
      <c r="AI20" s="4"/>
      <c r="AJ20" s="5">
        <f>12083.37</f>
        <v>12083.37</v>
      </c>
      <c r="AK20" s="5">
        <f t="shared" si="11"/>
        <v>12083.37</v>
      </c>
      <c r="AL20" s="5">
        <f t="shared" si="12"/>
        <v>0</v>
      </c>
      <c r="AM20" s="12">
        <f t="shared" si="13"/>
        <v>145000</v>
      </c>
      <c r="AN20" s="5"/>
    </row>
    <row r="21" spans="1:47" x14ac:dyDescent="0.45">
      <c r="A21" s="3" t="s">
        <v>29</v>
      </c>
      <c r="B21" s="4"/>
      <c r="C21" s="4"/>
      <c r="D21" s="5">
        <f t="shared" si="0"/>
        <v>0</v>
      </c>
      <c r="E21" s="4"/>
      <c r="F21" s="4"/>
      <c r="G21" s="5">
        <f t="shared" si="1"/>
        <v>0</v>
      </c>
      <c r="H21" s="4"/>
      <c r="I21" s="4"/>
      <c r="J21" s="5">
        <f t="shared" si="2"/>
        <v>0</v>
      </c>
      <c r="K21" s="4"/>
      <c r="L21" s="4"/>
      <c r="M21" s="5">
        <f t="shared" si="3"/>
        <v>0</v>
      </c>
      <c r="N21" s="4"/>
      <c r="O21" s="4"/>
      <c r="P21" s="5">
        <f t="shared" si="4"/>
        <v>0</v>
      </c>
      <c r="Q21" s="4"/>
      <c r="R21" s="4"/>
      <c r="S21" s="5">
        <f t="shared" si="5"/>
        <v>0</v>
      </c>
      <c r="T21" s="4"/>
      <c r="U21" s="4"/>
      <c r="V21" s="5">
        <f t="shared" si="6"/>
        <v>0</v>
      </c>
      <c r="W21" s="4"/>
      <c r="X21" s="4"/>
      <c r="Y21" s="5">
        <f t="shared" si="7"/>
        <v>0</v>
      </c>
      <c r="Z21" s="4"/>
      <c r="AA21" s="4"/>
      <c r="AB21" s="5">
        <f t="shared" si="8"/>
        <v>0</v>
      </c>
      <c r="AC21" s="4"/>
      <c r="AD21" s="4"/>
      <c r="AE21" s="5">
        <f t="shared" si="9"/>
        <v>0</v>
      </c>
      <c r="AF21" s="4"/>
      <c r="AG21" s="4"/>
      <c r="AH21" s="5">
        <f t="shared" si="10"/>
        <v>0</v>
      </c>
      <c r="AI21" s="4"/>
      <c r="AJ21" s="4"/>
      <c r="AK21" s="5">
        <f t="shared" si="11"/>
        <v>0</v>
      </c>
      <c r="AL21" s="5">
        <f t="shared" si="12"/>
        <v>0</v>
      </c>
      <c r="AM21" s="12">
        <f t="shared" si="13"/>
        <v>0</v>
      </c>
      <c r="AN21" s="5">
        <f t="shared" ref="AN21:AN30" si="14">(AM21)-(AL21)</f>
        <v>0</v>
      </c>
    </row>
    <row r="22" spans="1:47" x14ac:dyDescent="0.45">
      <c r="A22" s="3" t="s">
        <v>30</v>
      </c>
      <c r="B22" s="4"/>
      <c r="C22" s="4"/>
      <c r="D22" s="5">
        <f t="shared" si="0"/>
        <v>0</v>
      </c>
      <c r="E22" s="4"/>
      <c r="F22" s="4"/>
      <c r="G22" s="5">
        <f t="shared" si="1"/>
        <v>0</v>
      </c>
      <c r="H22" s="4"/>
      <c r="I22" s="4"/>
      <c r="J22" s="5">
        <f t="shared" si="2"/>
        <v>0</v>
      </c>
      <c r="K22" s="4"/>
      <c r="L22" s="4"/>
      <c r="M22" s="5">
        <f t="shared" si="3"/>
        <v>0</v>
      </c>
      <c r="N22" s="4"/>
      <c r="O22" s="4"/>
      <c r="P22" s="5">
        <f t="shared" si="4"/>
        <v>0</v>
      </c>
      <c r="Q22" s="4"/>
      <c r="R22" s="4"/>
      <c r="S22" s="5">
        <f t="shared" si="5"/>
        <v>0</v>
      </c>
      <c r="T22" s="4"/>
      <c r="U22" s="4"/>
      <c r="V22" s="5">
        <f t="shared" si="6"/>
        <v>0</v>
      </c>
      <c r="W22" s="4"/>
      <c r="X22" s="4"/>
      <c r="Y22" s="5">
        <f t="shared" si="7"/>
        <v>0</v>
      </c>
      <c r="Z22" s="4"/>
      <c r="AA22" s="4"/>
      <c r="AB22" s="5">
        <f t="shared" si="8"/>
        <v>0</v>
      </c>
      <c r="AC22" s="4"/>
      <c r="AD22" s="4"/>
      <c r="AE22" s="5">
        <f t="shared" si="9"/>
        <v>0</v>
      </c>
      <c r="AF22" s="4"/>
      <c r="AG22" s="4"/>
      <c r="AH22" s="5">
        <f t="shared" si="10"/>
        <v>0</v>
      </c>
      <c r="AI22" s="4"/>
      <c r="AJ22" s="4"/>
      <c r="AK22" s="5">
        <f t="shared" si="11"/>
        <v>0</v>
      </c>
      <c r="AL22" s="5">
        <f t="shared" si="12"/>
        <v>0</v>
      </c>
      <c r="AM22" s="12">
        <f t="shared" si="13"/>
        <v>0</v>
      </c>
      <c r="AN22" s="5">
        <f t="shared" si="14"/>
        <v>0</v>
      </c>
    </row>
    <row r="23" spans="1:47" x14ac:dyDescent="0.45">
      <c r="A23" s="3" t="s">
        <v>31</v>
      </c>
      <c r="B23" s="4"/>
      <c r="C23" s="4"/>
      <c r="D23" s="5">
        <f t="shared" si="0"/>
        <v>0</v>
      </c>
      <c r="E23" s="4"/>
      <c r="F23" s="4"/>
      <c r="G23" s="5">
        <f t="shared" si="1"/>
        <v>0</v>
      </c>
      <c r="H23" s="4"/>
      <c r="I23" s="4"/>
      <c r="J23" s="5">
        <f t="shared" si="2"/>
        <v>0</v>
      </c>
      <c r="K23" s="4"/>
      <c r="L23" s="4"/>
      <c r="M23" s="5">
        <f t="shared" si="3"/>
        <v>0</v>
      </c>
      <c r="N23" s="4"/>
      <c r="O23" s="4"/>
      <c r="P23" s="5">
        <f t="shared" si="4"/>
        <v>0</v>
      </c>
      <c r="Q23" s="4"/>
      <c r="R23" s="4"/>
      <c r="S23" s="5">
        <f t="shared" si="5"/>
        <v>0</v>
      </c>
      <c r="T23" s="4"/>
      <c r="U23" s="4"/>
      <c r="V23" s="5">
        <f t="shared" si="6"/>
        <v>0</v>
      </c>
      <c r="W23" s="4"/>
      <c r="X23" s="4"/>
      <c r="Y23" s="5">
        <f t="shared" si="7"/>
        <v>0</v>
      </c>
      <c r="Z23" s="4"/>
      <c r="AA23" s="4"/>
      <c r="AB23" s="5">
        <f t="shared" si="8"/>
        <v>0</v>
      </c>
      <c r="AC23" s="4"/>
      <c r="AD23" s="4"/>
      <c r="AE23" s="5">
        <f t="shared" si="9"/>
        <v>0</v>
      </c>
      <c r="AF23" s="4"/>
      <c r="AG23" s="4"/>
      <c r="AH23" s="5">
        <f t="shared" si="10"/>
        <v>0</v>
      </c>
      <c r="AI23" s="4"/>
      <c r="AJ23" s="4"/>
      <c r="AK23" s="5">
        <f t="shared" si="11"/>
        <v>0</v>
      </c>
      <c r="AL23" s="5">
        <f t="shared" si="12"/>
        <v>0</v>
      </c>
      <c r="AM23" s="12">
        <f t="shared" si="13"/>
        <v>0</v>
      </c>
      <c r="AN23" s="5">
        <f t="shared" si="14"/>
        <v>0</v>
      </c>
    </row>
    <row r="24" spans="1:47" x14ac:dyDescent="0.45">
      <c r="A24" s="3" t="s">
        <v>32</v>
      </c>
      <c r="B24" s="4"/>
      <c r="C24" s="4"/>
      <c r="D24" s="5">
        <f t="shared" si="0"/>
        <v>0</v>
      </c>
      <c r="E24" s="4"/>
      <c r="F24" s="4"/>
      <c r="G24" s="5">
        <f t="shared" si="1"/>
        <v>0</v>
      </c>
      <c r="H24" s="4"/>
      <c r="I24" s="4"/>
      <c r="J24" s="5">
        <f t="shared" si="2"/>
        <v>0</v>
      </c>
      <c r="K24" s="4"/>
      <c r="L24" s="4"/>
      <c r="M24" s="5">
        <f t="shared" si="3"/>
        <v>0</v>
      </c>
      <c r="N24" s="4"/>
      <c r="O24" s="4"/>
      <c r="P24" s="5">
        <f t="shared" si="4"/>
        <v>0</v>
      </c>
      <c r="Q24" s="4"/>
      <c r="R24" s="4"/>
      <c r="S24" s="5">
        <f t="shared" si="5"/>
        <v>0</v>
      </c>
      <c r="T24" s="4"/>
      <c r="U24" s="4"/>
      <c r="V24" s="5">
        <f t="shared" si="6"/>
        <v>0</v>
      </c>
      <c r="W24" s="4"/>
      <c r="X24" s="4"/>
      <c r="Y24" s="5">
        <f t="shared" si="7"/>
        <v>0</v>
      </c>
      <c r="Z24" s="4"/>
      <c r="AA24" s="4"/>
      <c r="AB24" s="5">
        <f t="shared" si="8"/>
        <v>0</v>
      </c>
      <c r="AC24" s="4"/>
      <c r="AD24" s="4"/>
      <c r="AE24" s="5">
        <f t="shared" si="9"/>
        <v>0</v>
      </c>
      <c r="AF24" s="4"/>
      <c r="AG24" s="4"/>
      <c r="AH24" s="5">
        <f t="shared" si="10"/>
        <v>0</v>
      </c>
      <c r="AI24" s="4"/>
      <c r="AJ24" s="4"/>
      <c r="AK24" s="5">
        <f t="shared" si="11"/>
        <v>0</v>
      </c>
      <c r="AL24" s="5">
        <f t="shared" si="12"/>
        <v>0</v>
      </c>
      <c r="AM24" s="12">
        <f t="shared" si="13"/>
        <v>0</v>
      </c>
      <c r="AN24" s="5">
        <f t="shared" si="14"/>
        <v>0</v>
      </c>
    </row>
    <row r="25" spans="1:47" x14ac:dyDescent="0.45">
      <c r="A25" s="3" t="s">
        <v>33</v>
      </c>
      <c r="B25" s="6">
        <f>((((B20)+(B21))+(B22))+(B23))+(B24)</f>
        <v>0</v>
      </c>
      <c r="C25" s="6">
        <f>((((C20)+(C21))+(C22))+(C23))+(C24)</f>
        <v>12083.33</v>
      </c>
      <c r="D25" s="6">
        <f t="shared" si="0"/>
        <v>12083.33</v>
      </c>
      <c r="E25" s="6">
        <f>((((E20)+(E21))+(E22))+(E23))+(E24)</f>
        <v>0</v>
      </c>
      <c r="F25" s="6">
        <f>((((F20)+(F21))+(F22))+(F23))+(F24)</f>
        <v>12083.33</v>
      </c>
      <c r="G25" s="6">
        <f t="shared" si="1"/>
        <v>12083.33</v>
      </c>
      <c r="H25" s="6">
        <f>((((H20)+(H21))+(H22))+(H23))+(H24)</f>
        <v>0</v>
      </c>
      <c r="I25" s="6">
        <f>((((I20)+(I21))+(I22))+(I23))+(I24)</f>
        <v>12083.33</v>
      </c>
      <c r="J25" s="6">
        <f t="shared" si="2"/>
        <v>12083.33</v>
      </c>
      <c r="K25" s="6">
        <f>((((K20)+(K21))+(K22))+(K23))+(K24)</f>
        <v>0</v>
      </c>
      <c r="L25" s="6">
        <f>((((L20)+(L21))+(L22))+(L23))+(L24)</f>
        <v>12083.33</v>
      </c>
      <c r="M25" s="6">
        <f t="shared" si="3"/>
        <v>12083.33</v>
      </c>
      <c r="N25" s="6">
        <f>((((N20)+(N21))+(N22))+(N23))+(N24)</f>
        <v>0</v>
      </c>
      <c r="O25" s="6">
        <f>((((O20)+(O21))+(O22))+(O23))+(O24)</f>
        <v>12083.33</v>
      </c>
      <c r="P25" s="6">
        <f t="shared" si="4"/>
        <v>12083.33</v>
      </c>
      <c r="Q25" s="6">
        <f>((((Q20)+(Q21))+(Q22))+(Q23))+(Q24)</f>
        <v>0</v>
      </c>
      <c r="R25" s="6">
        <f>((((R20)+(R21))+(R22))+(R23))+(R24)</f>
        <v>12083.33</v>
      </c>
      <c r="S25" s="6">
        <f t="shared" si="5"/>
        <v>12083.33</v>
      </c>
      <c r="T25" s="6">
        <f>((((T20)+(T21))+(T22))+(T23))+(T24)</f>
        <v>0</v>
      </c>
      <c r="U25" s="6">
        <f>((((U20)+(U21))+(U22))+(U23))+(U24)</f>
        <v>12083.33</v>
      </c>
      <c r="V25" s="6">
        <f t="shared" si="6"/>
        <v>12083.33</v>
      </c>
      <c r="W25" s="6">
        <f>((((W20)+(W21))+(W22))+(W23))+(W24)</f>
        <v>0</v>
      </c>
      <c r="X25" s="6">
        <f>((((X20)+(X21))+(X22))+(X23))+(X24)</f>
        <v>12083.33</v>
      </c>
      <c r="Y25" s="6">
        <f t="shared" si="7"/>
        <v>12083.33</v>
      </c>
      <c r="Z25" s="6">
        <f>((((Z20)+(Z21))+(Z22))+(Z23))+(Z24)</f>
        <v>0</v>
      </c>
      <c r="AA25" s="6">
        <f>((((AA20)+(AA21))+(AA22))+(AA23))+(AA24)</f>
        <v>12083.33</v>
      </c>
      <c r="AB25" s="6">
        <f t="shared" si="8"/>
        <v>12083.33</v>
      </c>
      <c r="AC25" s="6">
        <f>((((AC20)+(AC21))+(AC22))+(AC23))+(AC24)</f>
        <v>0</v>
      </c>
      <c r="AD25" s="6">
        <f>((((AD20)+(AD21))+(AD22))+(AD23))+(AD24)</f>
        <v>12083.33</v>
      </c>
      <c r="AE25" s="6">
        <f t="shared" si="9"/>
        <v>12083.33</v>
      </c>
      <c r="AF25" s="6">
        <f>((((AF20)+(AF21))+(AF22))+(AF23))+(AF24)</f>
        <v>0</v>
      </c>
      <c r="AG25" s="6">
        <f>((((AG20)+(AG21))+(AG22))+(AG23))+(AG24)</f>
        <v>12083.33</v>
      </c>
      <c r="AH25" s="6">
        <f t="shared" si="10"/>
        <v>12083.33</v>
      </c>
      <c r="AI25" s="6">
        <f>((((AI20)+(AI21))+(AI22))+(AI23))+(AI24)</f>
        <v>0</v>
      </c>
      <c r="AJ25" s="6">
        <f>((((AJ20)+(AJ21))+(AJ22))+(AJ23))+(AJ24)</f>
        <v>12083.37</v>
      </c>
      <c r="AK25" s="6">
        <f t="shared" si="11"/>
        <v>12083.37</v>
      </c>
      <c r="AL25" s="6">
        <f t="shared" si="12"/>
        <v>0</v>
      </c>
      <c r="AM25" s="13">
        <f t="shared" si="13"/>
        <v>145000</v>
      </c>
      <c r="AN25" s="6"/>
    </row>
    <row r="26" spans="1:47" x14ac:dyDescent="0.45">
      <c r="A26" s="3" t="s">
        <v>34</v>
      </c>
      <c r="B26" s="5">
        <f>133610.45</f>
        <v>133610.45000000001</v>
      </c>
      <c r="C26" s="5">
        <f>8750</f>
        <v>8750</v>
      </c>
      <c r="D26" s="5">
        <f t="shared" si="0"/>
        <v>-124860.45000000001</v>
      </c>
      <c r="E26" s="5">
        <f>344593.35</f>
        <v>344593.35</v>
      </c>
      <c r="F26" s="5">
        <f>8750</f>
        <v>8750</v>
      </c>
      <c r="G26" s="5">
        <f t="shared" si="1"/>
        <v>-335843.35</v>
      </c>
      <c r="H26" s="5">
        <f>351384.6</f>
        <v>351384.6</v>
      </c>
      <c r="I26" s="5">
        <f>8750</f>
        <v>8750</v>
      </c>
      <c r="J26" s="5">
        <f t="shared" si="2"/>
        <v>-342634.6</v>
      </c>
      <c r="K26" s="5">
        <f>303530.25</f>
        <v>303530.25</v>
      </c>
      <c r="L26" s="5">
        <f>8750</f>
        <v>8750</v>
      </c>
      <c r="M26" s="5">
        <f t="shared" si="3"/>
        <v>-294780.25</v>
      </c>
      <c r="N26" s="5">
        <f>388128.5</f>
        <v>388128.5</v>
      </c>
      <c r="O26" s="5">
        <f>8750</f>
        <v>8750</v>
      </c>
      <c r="P26" s="5">
        <f t="shared" si="4"/>
        <v>-379378.5</v>
      </c>
      <c r="Q26" s="5">
        <f>198708.6</f>
        <v>198708.6</v>
      </c>
      <c r="R26" s="5">
        <f>8750</f>
        <v>8750</v>
      </c>
      <c r="S26" s="5">
        <f t="shared" si="5"/>
        <v>-189958.6</v>
      </c>
      <c r="T26" s="5">
        <f>198385.63</f>
        <v>198385.63</v>
      </c>
      <c r="U26" s="5">
        <f>8750</f>
        <v>8750</v>
      </c>
      <c r="V26" s="5">
        <f t="shared" si="6"/>
        <v>-189635.63</v>
      </c>
      <c r="W26" s="5">
        <f>30328.5</f>
        <v>30328.5</v>
      </c>
      <c r="X26" s="5">
        <f>8750</f>
        <v>8750</v>
      </c>
      <c r="Y26" s="5">
        <f t="shared" si="7"/>
        <v>-21578.5</v>
      </c>
      <c r="Z26" s="4"/>
      <c r="AA26" s="5">
        <f>8750</f>
        <v>8750</v>
      </c>
      <c r="AB26" s="5">
        <f t="shared" si="8"/>
        <v>8750</v>
      </c>
      <c r="AC26" s="4"/>
      <c r="AD26" s="5">
        <f>8750</f>
        <v>8750</v>
      </c>
      <c r="AE26" s="5">
        <f t="shared" si="9"/>
        <v>8750</v>
      </c>
      <c r="AF26" s="4"/>
      <c r="AG26" s="5">
        <f>8750</f>
        <v>8750</v>
      </c>
      <c r="AH26" s="5">
        <f t="shared" si="10"/>
        <v>8750</v>
      </c>
      <c r="AI26" s="4"/>
      <c r="AJ26" s="5">
        <f>8750</f>
        <v>8750</v>
      </c>
      <c r="AK26" s="5">
        <f t="shared" si="11"/>
        <v>8750</v>
      </c>
      <c r="AL26" s="5">
        <f t="shared" si="12"/>
        <v>1948669.88</v>
      </c>
      <c r="AM26" s="12">
        <f t="shared" si="13"/>
        <v>105000</v>
      </c>
      <c r="AN26" s="5">
        <v>105000</v>
      </c>
    </row>
    <row r="27" spans="1:47" x14ac:dyDescent="0.45">
      <c r="A27" s="3" t="s">
        <v>35</v>
      </c>
      <c r="B27" s="5">
        <f>590</f>
        <v>590</v>
      </c>
      <c r="C27" s="5">
        <f>666.67</f>
        <v>666.67</v>
      </c>
      <c r="D27" s="5">
        <f t="shared" si="0"/>
        <v>76.669999999999959</v>
      </c>
      <c r="E27" s="5">
        <f>790</f>
        <v>790</v>
      </c>
      <c r="F27" s="5">
        <f>666.67</f>
        <v>666.67</v>
      </c>
      <c r="G27" s="5">
        <f t="shared" si="1"/>
        <v>-123.33000000000004</v>
      </c>
      <c r="H27" s="5">
        <f>1479</f>
        <v>1479</v>
      </c>
      <c r="I27" s="5">
        <f>666.67</f>
        <v>666.67</v>
      </c>
      <c r="J27" s="5">
        <f t="shared" si="2"/>
        <v>-812.33</v>
      </c>
      <c r="K27" s="5">
        <f>200</f>
        <v>200</v>
      </c>
      <c r="L27" s="5">
        <f>666.67</f>
        <v>666.67</v>
      </c>
      <c r="M27" s="5">
        <f t="shared" si="3"/>
        <v>466.66999999999996</v>
      </c>
      <c r="N27" s="5">
        <f>280</f>
        <v>280</v>
      </c>
      <c r="O27" s="5">
        <f>666.67</f>
        <v>666.67</v>
      </c>
      <c r="P27" s="5">
        <f t="shared" si="4"/>
        <v>386.66999999999996</v>
      </c>
      <c r="Q27" s="5">
        <f>545</f>
        <v>545</v>
      </c>
      <c r="R27" s="5">
        <f>666.67</f>
        <v>666.67</v>
      </c>
      <c r="S27" s="5">
        <f t="shared" si="5"/>
        <v>121.66999999999996</v>
      </c>
      <c r="T27" s="5">
        <f>650</f>
        <v>650</v>
      </c>
      <c r="U27" s="5">
        <f>666.67</f>
        <v>666.67</v>
      </c>
      <c r="V27" s="5">
        <f t="shared" si="6"/>
        <v>16.669999999999959</v>
      </c>
      <c r="W27" s="5">
        <f>-200</f>
        <v>-200</v>
      </c>
      <c r="X27" s="5">
        <f>666.67</f>
        <v>666.67</v>
      </c>
      <c r="Y27" s="5">
        <f t="shared" si="7"/>
        <v>866.67</v>
      </c>
      <c r="Z27" s="4"/>
      <c r="AA27" s="5">
        <f>666.67</f>
        <v>666.67</v>
      </c>
      <c r="AB27" s="5">
        <f t="shared" si="8"/>
        <v>666.67</v>
      </c>
      <c r="AC27" s="4"/>
      <c r="AD27" s="5">
        <f>666.67</f>
        <v>666.67</v>
      </c>
      <c r="AE27" s="5">
        <f t="shared" si="9"/>
        <v>666.67</v>
      </c>
      <c r="AF27" s="4"/>
      <c r="AG27" s="5">
        <f>666.67</f>
        <v>666.67</v>
      </c>
      <c r="AH27" s="5">
        <f t="shared" si="10"/>
        <v>666.67</v>
      </c>
      <c r="AI27" s="4"/>
      <c r="AJ27" s="5">
        <f>666.63</f>
        <v>666.63</v>
      </c>
      <c r="AK27" s="5">
        <f t="shared" si="11"/>
        <v>666.63</v>
      </c>
      <c r="AL27" s="5">
        <f t="shared" si="12"/>
        <v>4334</v>
      </c>
      <c r="AM27" s="12">
        <f t="shared" si="13"/>
        <v>8000</v>
      </c>
      <c r="AN27" s="5">
        <v>8000</v>
      </c>
    </row>
    <row r="28" spans="1:47" x14ac:dyDescent="0.45">
      <c r="A28" s="3" t="s">
        <v>36</v>
      </c>
      <c r="B28" s="4"/>
      <c r="C28" s="5">
        <f>1750</f>
        <v>1750</v>
      </c>
      <c r="D28" s="5">
        <f t="shared" si="0"/>
        <v>1750</v>
      </c>
      <c r="E28" s="4"/>
      <c r="F28" s="5">
        <f>1750</f>
        <v>1750</v>
      </c>
      <c r="G28" s="5">
        <f t="shared" si="1"/>
        <v>1750</v>
      </c>
      <c r="H28" s="4"/>
      <c r="I28" s="5">
        <f>1750</f>
        <v>1750</v>
      </c>
      <c r="J28" s="5">
        <f t="shared" si="2"/>
        <v>1750</v>
      </c>
      <c r="K28" s="4"/>
      <c r="L28" s="5">
        <f>1750</f>
        <v>1750</v>
      </c>
      <c r="M28" s="5">
        <f t="shared" si="3"/>
        <v>1750</v>
      </c>
      <c r="N28" s="5">
        <f>15330</f>
        <v>15330</v>
      </c>
      <c r="O28" s="5">
        <f>1750</f>
        <v>1750</v>
      </c>
      <c r="P28" s="5">
        <f t="shared" si="4"/>
        <v>-13580</v>
      </c>
      <c r="Q28" s="4"/>
      <c r="R28" s="5">
        <f>1750</f>
        <v>1750</v>
      </c>
      <c r="S28" s="5">
        <f t="shared" si="5"/>
        <v>1750</v>
      </c>
      <c r="T28" s="4"/>
      <c r="U28" s="5">
        <f>1750</f>
        <v>1750</v>
      </c>
      <c r="V28" s="5">
        <f t="shared" si="6"/>
        <v>1750</v>
      </c>
      <c r="W28" s="4"/>
      <c r="X28" s="5">
        <f>1750</f>
        <v>1750</v>
      </c>
      <c r="Y28" s="5">
        <f t="shared" si="7"/>
        <v>1750</v>
      </c>
      <c r="Z28" s="4"/>
      <c r="AA28" s="5">
        <f>1750</f>
        <v>1750</v>
      </c>
      <c r="AB28" s="5">
        <f t="shared" si="8"/>
        <v>1750</v>
      </c>
      <c r="AC28" s="4"/>
      <c r="AD28" s="5">
        <f>1750</f>
        <v>1750</v>
      </c>
      <c r="AE28" s="5">
        <f t="shared" si="9"/>
        <v>1750</v>
      </c>
      <c r="AF28" s="4"/>
      <c r="AG28" s="5">
        <f>1750</f>
        <v>1750</v>
      </c>
      <c r="AH28" s="5">
        <f t="shared" si="10"/>
        <v>1750</v>
      </c>
      <c r="AI28" s="4"/>
      <c r="AJ28" s="5">
        <f>1750</f>
        <v>1750</v>
      </c>
      <c r="AK28" s="5">
        <f t="shared" si="11"/>
        <v>1750</v>
      </c>
      <c r="AL28" s="5">
        <f t="shared" si="12"/>
        <v>15330</v>
      </c>
      <c r="AM28" s="12">
        <f t="shared" si="13"/>
        <v>21000</v>
      </c>
      <c r="AN28" s="29">
        <f t="shared" si="14"/>
        <v>5670</v>
      </c>
      <c r="AS28" t="s">
        <v>184</v>
      </c>
    </row>
    <row r="29" spans="1:47" x14ac:dyDescent="0.45">
      <c r="A29" s="3" t="s">
        <v>37</v>
      </c>
      <c r="B29" s="4"/>
      <c r="C29" s="4"/>
      <c r="D29" s="5">
        <f t="shared" si="0"/>
        <v>0</v>
      </c>
      <c r="E29" s="4"/>
      <c r="F29" s="4"/>
      <c r="G29" s="5">
        <f t="shared" si="1"/>
        <v>0</v>
      </c>
      <c r="H29" s="4"/>
      <c r="I29" s="4"/>
      <c r="J29" s="5">
        <f t="shared" si="2"/>
        <v>0</v>
      </c>
      <c r="K29" s="4"/>
      <c r="L29" s="4"/>
      <c r="M29" s="5">
        <f t="shared" si="3"/>
        <v>0</v>
      </c>
      <c r="N29" s="4"/>
      <c r="O29" s="4"/>
      <c r="P29" s="5">
        <f t="shared" si="4"/>
        <v>0</v>
      </c>
      <c r="Q29" s="4"/>
      <c r="R29" s="4"/>
      <c r="S29" s="5">
        <f t="shared" si="5"/>
        <v>0</v>
      </c>
      <c r="T29" s="4"/>
      <c r="U29" s="4"/>
      <c r="V29" s="5">
        <f t="shared" si="6"/>
        <v>0</v>
      </c>
      <c r="W29" s="4"/>
      <c r="X29" s="4"/>
      <c r="Y29" s="5">
        <f t="shared" si="7"/>
        <v>0</v>
      </c>
      <c r="Z29" s="4"/>
      <c r="AA29" s="4"/>
      <c r="AB29" s="5">
        <f t="shared" si="8"/>
        <v>0</v>
      </c>
      <c r="AC29" s="4"/>
      <c r="AD29" s="4"/>
      <c r="AE29" s="5">
        <f t="shared" si="9"/>
        <v>0</v>
      </c>
      <c r="AF29" s="4"/>
      <c r="AG29" s="4"/>
      <c r="AH29" s="5">
        <f t="shared" si="10"/>
        <v>0</v>
      </c>
      <c r="AI29" s="4"/>
      <c r="AJ29" s="4"/>
      <c r="AK29" s="5">
        <f t="shared" si="11"/>
        <v>0</v>
      </c>
      <c r="AL29" s="5">
        <f t="shared" si="12"/>
        <v>0</v>
      </c>
      <c r="AM29" s="12">
        <f t="shared" si="13"/>
        <v>0</v>
      </c>
      <c r="AN29" s="5">
        <f t="shared" si="14"/>
        <v>0</v>
      </c>
    </row>
    <row r="30" spans="1:47" x14ac:dyDescent="0.45">
      <c r="A30" s="3" t="s">
        <v>38</v>
      </c>
      <c r="B30" s="4"/>
      <c r="C30" s="4"/>
      <c r="D30" s="5">
        <f t="shared" si="0"/>
        <v>0</v>
      </c>
      <c r="E30" s="4"/>
      <c r="F30" s="4"/>
      <c r="G30" s="5">
        <f t="shared" si="1"/>
        <v>0</v>
      </c>
      <c r="H30" s="4"/>
      <c r="I30" s="4"/>
      <c r="J30" s="5">
        <f t="shared" si="2"/>
        <v>0</v>
      </c>
      <c r="K30" s="4"/>
      <c r="L30" s="4"/>
      <c r="M30" s="5">
        <f t="shared" si="3"/>
        <v>0</v>
      </c>
      <c r="N30" s="4"/>
      <c r="O30" s="4"/>
      <c r="P30" s="5">
        <f t="shared" si="4"/>
        <v>0</v>
      </c>
      <c r="Q30" s="4"/>
      <c r="R30" s="4"/>
      <c r="S30" s="5">
        <f t="shared" si="5"/>
        <v>0</v>
      </c>
      <c r="T30" s="4"/>
      <c r="U30" s="4"/>
      <c r="V30" s="5">
        <f t="shared" si="6"/>
        <v>0</v>
      </c>
      <c r="W30" s="4"/>
      <c r="X30" s="4"/>
      <c r="Y30" s="5">
        <f t="shared" si="7"/>
        <v>0</v>
      </c>
      <c r="Z30" s="4"/>
      <c r="AA30" s="4"/>
      <c r="AB30" s="5">
        <f t="shared" si="8"/>
        <v>0</v>
      </c>
      <c r="AC30" s="4"/>
      <c r="AD30" s="4"/>
      <c r="AE30" s="5">
        <f t="shared" si="9"/>
        <v>0</v>
      </c>
      <c r="AF30" s="4"/>
      <c r="AG30" s="4"/>
      <c r="AH30" s="5">
        <f t="shared" si="10"/>
        <v>0</v>
      </c>
      <c r="AI30" s="4"/>
      <c r="AJ30" s="4"/>
      <c r="AK30" s="5">
        <f t="shared" si="11"/>
        <v>0</v>
      </c>
      <c r="AL30" s="5">
        <f t="shared" si="12"/>
        <v>0</v>
      </c>
      <c r="AM30" s="12">
        <f t="shared" si="13"/>
        <v>0</v>
      </c>
      <c r="AN30" s="5">
        <f t="shared" si="14"/>
        <v>0</v>
      </c>
    </row>
    <row r="31" spans="1:47" x14ac:dyDescent="0.45">
      <c r="A31" s="32" t="s">
        <v>185</v>
      </c>
      <c r="B31" s="4"/>
      <c r="C31" s="4"/>
      <c r="D31" s="5">
        <f t="shared" si="0"/>
        <v>0</v>
      </c>
      <c r="E31" s="4"/>
      <c r="F31" s="4"/>
      <c r="G31" s="5">
        <f t="shared" si="1"/>
        <v>0</v>
      </c>
      <c r="H31" s="4"/>
      <c r="I31" s="4"/>
      <c r="J31" s="5">
        <f t="shared" si="2"/>
        <v>0</v>
      </c>
      <c r="K31" s="4"/>
      <c r="L31" s="4"/>
      <c r="M31" s="5">
        <f t="shared" si="3"/>
        <v>0</v>
      </c>
      <c r="N31" s="4"/>
      <c r="O31" s="4"/>
      <c r="P31" s="5">
        <f t="shared" si="4"/>
        <v>0</v>
      </c>
      <c r="Q31" s="4"/>
      <c r="R31" s="4"/>
      <c r="S31" s="5">
        <f t="shared" si="5"/>
        <v>0</v>
      </c>
      <c r="T31" s="4"/>
      <c r="U31" s="4"/>
      <c r="V31" s="5">
        <f t="shared" si="6"/>
        <v>0</v>
      </c>
      <c r="W31" s="4"/>
      <c r="X31" s="4"/>
      <c r="Y31" s="5">
        <f t="shared" si="7"/>
        <v>0</v>
      </c>
      <c r="Z31" s="4"/>
      <c r="AA31" s="4"/>
      <c r="AB31" s="5">
        <f t="shared" si="8"/>
        <v>0</v>
      </c>
      <c r="AC31" s="4"/>
      <c r="AD31" s="4"/>
      <c r="AE31" s="5">
        <f t="shared" si="9"/>
        <v>0</v>
      </c>
      <c r="AF31" s="4"/>
      <c r="AG31" s="4"/>
      <c r="AH31" s="5">
        <f t="shared" si="10"/>
        <v>0</v>
      </c>
      <c r="AI31" s="4"/>
      <c r="AJ31" s="4"/>
      <c r="AK31" s="5">
        <f t="shared" si="11"/>
        <v>0</v>
      </c>
      <c r="AL31" s="5">
        <f t="shared" si="12"/>
        <v>0</v>
      </c>
      <c r="AM31" s="12">
        <f t="shared" si="13"/>
        <v>0</v>
      </c>
      <c r="AN31" s="5">
        <v>10500</v>
      </c>
    </row>
    <row r="32" spans="1:47" x14ac:dyDescent="0.45">
      <c r="A32" s="3" t="s">
        <v>39</v>
      </c>
      <c r="B32" s="6" t="e">
        <f>((((((B30)+(#REF!))+(#REF!))+(#REF!))+(#REF!))+(#REF!))+(B31)</f>
        <v>#REF!</v>
      </c>
      <c r="C32" s="6" t="e">
        <f>((((((C30)+(#REF!))+(#REF!))+(#REF!))+(#REF!))+(#REF!))+(C31)</f>
        <v>#REF!</v>
      </c>
      <c r="D32" s="6" t="e">
        <f t="shared" si="0"/>
        <v>#REF!</v>
      </c>
      <c r="E32" s="6" t="e">
        <f>((((((E30)+(#REF!))+(#REF!))+(#REF!))+(#REF!))+(#REF!))+(E31)</f>
        <v>#REF!</v>
      </c>
      <c r="F32" s="6" t="e">
        <f>((((((F30)+(#REF!))+(#REF!))+(#REF!))+(#REF!))+(#REF!))+(F31)</f>
        <v>#REF!</v>
      </c>
      <c r="G32" s="6" t="e">
        <f t="shared" si="1"/>
        <v>#REF!</v>
      </c>
      <c r="H32" s="6" t="e">
        <f>((((((H30)+(#REF!))+(#REF!))+(#REF!))+(#REF!))+(#REF!))+(H31)</f>
        <v>#REF!</v>
      </c>
      <c r="I32" s="6" t="e">
        <f>((((((I30)+(#REF!))+(#REF!))+(#REF!))+(#REF!))+(#REF!))+(I31)</f>
        <v>#REF!</v>
      </c>
      <c r="J32" s="6" t="e">
        <f t="shared" si="2"/>
        <v>#REF!</v>
      </c>
      <c r="K32" s="6" t="e">
        <f>((((((K30)+(#REF!))+(#REF!))+(#REF!))+(#REF!))+(#REF!))+(K31)</f>
        <v>#REF!</v>
      </c>
      <c r="L32" s="6" t="e">
        <f>((((((L30)+(#REF!))+(#REF!))+(#REF!))+(#REF!))+(#REF!))+(L31)</f>
        <v>#REF!</v>
      </c>
      <c r="M32" s="6" t="e">
        <f t="shared" si="3"/>
        <v>#REF!</v>
      </c>
      <c r="N32" s="6" t="e">
        <f>((((((N30)+(#REF!))+(#REF!))+(#REF!))+(#REF!))+(#REF!))+(N31)</f>
        <v>#REF!</v>
      </c>
      <c r="O32" s="6" t="e">
        <f>((((((O30)+(#REF!))+(#REF!))+(#REF!))+(#REF!))+(#REF!))+(O31)</f>
        <v>#REF!</v>
      </c>
      <c r="P32" s="6" t="e">
        <f t="shared" si="4"/>
        <v>#REF!</v>
      </c>
      <c r="Q32" s="6" t="e">
        <f>((((((Q30)+(#REF!))+(#REF!))+(#REF!))+(#REF!))+(#REF!))+(Q31)</f>
        <v>#REF!</v>
      </c>
      <c r="R32" s="6" t="e">
        <f>((((((R30)+(#REF!))+(#REF!))+(#REF!))+(#REF!))+(#REF!))+(R31)</f>
        <v>#REF!</v>
      </c>
      <c r="S32" s="6" t="e">
        <f t="shared" si="5"/>
        <v>#REF!</v>
      </c>
      <c r="T32" s="6" t="e">
        <f>((((((T30)+(#REF!))+(#REF!))+(#REF!))+(#REF!))+(#REF!))+(T31)</f>
        <v>#REF!</v>
      </c>
      <c r="U32" s="6" t="e">
        <f>((((((U30)+(#REF!))+(#REF!))+(#REF!))+(#REF!))+(#REF!))+(U31)</f>
        <v>#REF!</v>
      </c>
      <c r="V32" s="6" t="e">
        <f t="shared" si="6"/>
        <v>#REF!</v>
      </c>
      <c r="W32" s="6" t="e">
        <f>((((((W30)+(#REF!))+(#REF!))+(#REF!))+(#REF!))+(#REF!))+(W31)</f>
        <v>#REF!</v>
      </c>
      <c r="X32" s="6" t="e">
        <f>((((((X30)+(#REF!))+(#REF!))+(#REF!))+(#REF!))+(#REF!))+(X31)</f>
        <v>#REF!</v>
      </c>
      <c r="Y32" s="6" t="e">
        <f t="shared" si="7"/>
        <v>#REF!</v>
      </c>
      <c r="Z32" s="6" t="e">
        <f>((((((Z30)+(#REF!))+(#REF!))+(#REF!))+(#REF!))+(#REF!))+(Z31)</f>
        <v>#REF!</v>
      </c>
      <c r="AA32" s="6" t="e">
        <f>((((((AA30)+(#REF!))+(#REF!))+(#REF!))+(#REF!))+(#REF!))+(AA31)</f>
        <v>#REF!</v>
      </c>
      <c r="AB32" s="6" t="e">
        <f t="shared" si="8"/>
        <v>#REF!</v>
      </c>
      <c r="AC32" s="6" t="e">
        <f>((((((AC30)+(#REF!))+(#REF!))+(#REF!))+(#REF!))+(#REF!))+(AC31)</f>
        <v>#REF!</v>
      </c>
      <c r="AD32" s="6" t="e">
        <f>((((((AD30)+(#REF!))+(#REF!))+(#REF!))+(#REF!))+(#REF!))+(AD31)</f>
        <v>#REF!</v>
      </c>
      <c r="AE32" s="6" t="e">
        <f t="shared" si="9"/>
        <v>#REF!</v>
      </c>
      <c r="AF32" s="6" t="e">
        <f>((((((AF30)+(#REF!))+(#REF!))+(#REF!))+(#REF!))+(#REF!))+(AF31)</f>
        <v>#REF!</v>
      </c>
      <c r="AG32" s="6" t="e">
        <f>((((((AG30)+(#REF!))+(#REF!))+(#REF!))+(#REF!))+(#REF!))+(AG31)</f>
        <v>#REF!</v>
      </c>
      <c r="AH32" s="6" t="e">
        <f t="shared" si="10"/>
        <v>#REF!</v>
      </c>
      <c r="AI32" s="6" t="e">
        <f>((((((AI30)+(#REF!))+(#REF!))+(#REF!))+(#REF!))+(#REF!))+(AI31)</f>
        <v>#REF!</v>
      </c>
      <c r="AJ32" s="6" t="e">
        <f>((((((AJ30)+(#REF!))+(#REF!))+(#REF!))+(#REF!))+(#REF!))+(AJ31)</f>
        <v>#REF!</v>
      </c>
      <c r="AK32" s="6" t="e">
        <f t="shared" si="11"/>
        <v>#REF!</v>
      </c>
      <c r="AL32" s="6" t="e">
        <f t="shared" si="12"/>
        <v>#REF!</v>
      </c>
      <c r="AM32" s="13"/>
      <c r="AN32" s="6">
        <v>129170</v>
      </c>
    </row>
    <row r="33" spans="1:40" x14ac:dyDescent="0.45">
      <c r="A33" s="3" t="s">
        <v>40</v>
      </c>
      <c r="B33" s="4"/>
      <c r="C33" s="4"/>
      <c r="D33" s="5">
        <f t="shared" si="0"/>
        <v>0</v>
      </c>
      <c r="E33" s="5">
        <f>1395</f>
        <v>1395</v>
      </c>
      <c r="F33" s="4"/>
      <c r="G33" s="5">
        <f t="shared" si="1"/>
        <v>-1395</v>
      </c>
      <c r="H33" s="4"/>
      <c r="I33" s="4"/>
      <c r="J33" s="5">
        <f t="shared" si="2"/>
        <v>0</v>
      </c>
      <c r="K33" s="4"/>
      <c r="L33" s="4"/>
      <c r="M33" s="5">
        <f t="shared" si="3"/>
        <v>0</v>
      </c>
      <c r="N33" s="4"/>
      <c r="O33" s="4"/>
      <c r="P33" s="5">
        <f t="shared" si="4"/>
        <v>0</v>
      </c>
      <c r="Q33" s="4"/>
      <c r="R33" s="4"/>
      <c r="S33" s="5">
        <f t="shared" si="5"/>
        <v>0</v>
      </c>
      <c r="T33" s="4"/>
      <c r="U33" s="4"/>
      <c r="V33" s="5">
        <f t="shared" si="6"/>
        <v>0</v>
      </c>
      <c r="W33" s="4"/>
      <c r="X33" s="4"/>
      <c r="Y33" s="5">
        <f t="shared" si="7"/>
        <v>0</v>
      </c>
      <c r="Z33" s="4"/>
      <c r="AA33" s="4"/>
      <c r="AB33" s="5">
        <f t="shared" si="8"/>
        <v>0</v>
      </c>
      <c r="AC33" s="4"/>
      <c r="AD33" s="4"/>
      <c r="AE33" s="5">
        <f t="shared" si="9"/>
        <v>0</v>
      </c>
      <c r="AF33" s="4"/>
      <c r="AG33" s="4"/>
      <c r="AH33" s="5">
        <f t="shared" si="10"/>
        <v>0</v>
      </c>
      <c r="AI33" s="4"/>
      <c r="AJ33" s="4"/>
      <c r="AK33" s="5">
        <f t="shared" si="11"/>
        <v>0</v>
      </c>
      <c r="AL33" s="5">
        <f t="shared" si="12"/>
        <v>1395</v>
      </c>
      <c r="AM33" s="12">
        <f t="shared" si="13"/>
        <v>0</v>
      </c>
      <c r="AN33" s="5"/>
    </row>
    <row r="34" spans="1:40" x14ac:dyDescent="0.45">
      <c r="A34" s="3" t="s">
        <v>41</v>
      </c>
      <c r="B34" s="4"/>
      <c r="C34" s="5">
        <f>416.67</f>
        <v>416.67</v>
      </c>
      <c r="D34" s="5">
        <f t="shared" si="0"/>
        <v>416.67</v>
      </c>
      <c r="E34" s="5">
        <f>923</f>
        <v>923</v>
      </c>
      <c r="F34" s="5">
        <f>416.67</f>
        <v>416.67</v>
      </c>
      <c r="G34" s="5">
        <f t="shared" si="1"/>
        <v>-506.33</v>
      </c>
      <c r="H34" s="4"/>
      <c r="I34" s="5">
        <f>416.67</f>
        <v>416.67</v>
      </c>
      <c r="J34" s="5">
        <f t="shared" si="2"/>
        <v>416.67</v>
      </c>
      <c r="K34" s="5">
        <f>125</f>
        <v>125</v>
      </c>
      <c r="L34" s="5">
        <f>416.67</f>
        <v>416.67</v>
      </c>
      <c r="M34" s="5">
        <f t="shared" si="3"/>
        <v>291.67</v>
      </c>
      <c r="N34" s="4"/>
      <c r="O34" s="5">
        <f>416.67</f>
        <v>416.67</v>
      </c>
      <c r="P34" s="5">
        <f t="shared" si="4"/>
        <v>416.67</v>
      </c>
      <c r="Q34" s="5">
        <f>216</f>
        <v>216</v>
      </c>
      <c r="R34" s="5">
        <f>416.67</f>
        <v>416.67</v>
      </c>
      <c r="S34" s="5">
        <f t="shared" si="5"/>
        <v>200.67000000000002</v>
      </c>
      <c r="T34" s="5">
        <f>30</f>
        <v>30</v>
      </c>
      <c r="U34" s="5">
        <f>416.67</f>
        <v>416.67</v>
      </c>
      <c r="V34" s="5">
        <f t="shared" si="6"/>
        <v>386.67</v>
      </c>
      <c r="W34" s="4"/>
      <c r="X34" s="5">
        <f>416.67</f>
        <v>416.67</v>
      </c>
      <c r="Y34" s="5">
        <f t="shared" si="7"/>
        <v>416.67</v>
      </c>
      <c r="Z34" s="4"/>
      <c r="AA34" s="5">
        <f>416.67</f>
        <v>416.67</v>
      </c>
      <c r="AB34" s="5">
        <f t="shared" si="8"/>
        <v>416.67</v>
      </c>
      <c r="AC34" s="4"/>
      <c r="AD34" s="5">
        <f>416.67</f>
        <v>416.67</v>
      </c>
      <c r="AE34" s="5">
        <f t="shared" si="9"/>
        <v>416.67</v>
      </c>
      <c r="AF34" s="4"/>
      <c r="AG34" s="5">
        <f>416.67</f>
        <v>416.67</v>
      </c>
      <c r="AH34" s="5">
        <f t="shared" si="10"/>
        <v>416.67</v>
      </c>
      <c r="AI34" s="4"/>
      <c r="AJ34" s="5">
        <f>416.63</f>
        <v>416.63</v>
      </c>
      <c r="AK34" s="5">
        <f t="shared" si="11"/>
        <v>416.63</v>
      </c>
      <c r="AL34" s="5">
        <f t="shared" si="12"/>
        <v>1294</v>
      </c>
      <c r="AM34" s="12">
        <f t="shared" si="13"/>
        <v>5000</v>
      </c>
      <c r="AN34" s="5">
        <v>3500</v>
      </c>
    </row>
    <row r="35" spans="1:40" x14ac:dyDescent="0.45">
      <c r="A35" s="3" t="s">
        <v>42</v>
      </c>
      <c r="B35" s="4"/>
      <c r="C35" s="4"/>
      <c r="D35" s="5">
        <f t="shared" ref="D35:D58" si="15">(C35)-(B35)</f>
        <v>0</v>
      </c>
      <c r="E35" s="4"/>
      <c r="F35" s="4"/>
      <c r="G35" s="5">
        <f t="shared" ref="G35:G58" si="16">(F35)-(E35)</f>
        <v>0</v>
      </c>
      <c r="H35" s="4"/>
      <c r="I35" s="4"/>
      <c r="J35" s="5">
        <f t="shared" ref="J35:J58" si="17">(I35)-(H35)</f>
        <v>0</v>
      </c>
      <c r="K35" s="5">
        <f>1200</f>
        <v>1200</v>
      </c>
      <c r="L35" s="4"/>
      <c r="M35" s="5">
        <f t="shared" ref="M35:M58" si="18">(L35)-(K35)</f>
        <v>-1200</v>
      </c>
      <c r="N35" s="5">
        <f>200</f>
        <v>200</v>
      </c>
      <c r="O35" s="4"/>
      <c r="P35" s="5">
        <f t="shared" ref="P35:P58" si="19">(O35)-(N35)</f>
        <v>-200</v>
      </c>
      <c r="Q35" s="4"/>
      <c r="R35" s="4"/>
      <c r="S35" s="5">
        <f t="shared" ref="S35:S58" si="20">(R35)-(Q35)</f>
        <v>0</v>
      </c>
      <c r="T35" s="4"/>
      <c r="U35" s="4"/>
      <c r="V35" s="5">
        <f t="shared" ref="V35:V58" si="21">(U35)-(T35)</f>
        <v>0</v>
      </c>
      <c r="W35" s="4"/>
      <c r="X35" s="4"/>
      <c r="Y35" s="5">
        <f t="shared" ref="Y35:Y58" si="22">(X35)-(W35)</f>
        <v>0</v>
      </c>
      <c r="Z35" s="4"/>
      <c r="AA35" s="4"/>
      <c r="AB35" s="5">
        <f t="shared" ref="AB35:AB58" si="23">(AA35)-(Z35)</f>
        <v>0</v>
      </c>
      <c r="AC35" s="4"/>
      <c r="AD35" s="4"/>
      <c r="AE35" s="5">
        <f t="shared" ref="AE35:AE58" si="24">(AD35)-(AC35)</f>
        <v>0</v>
      </c>
      <c r="AF35" s="4"/>
      <c r="AG35" s="4"/>
      <c r="AH35" s="5">
        <f t="shared" ref="AH35:AH58" si="25">(AG35)-(AF35)</f>
        <v>0</v>
      </c>
      <c r="AI35" s="4"/>
      <c r="AJ35" s="4"/>
      <c r="AK35" s="5">
        <f t="shared" ref="AK35:AK58" si="26">(AJ35)-(AI35)</f>
        <v>0</v>
      </c>
      <c r="AL35" s="5">
        <f t="shared" ref="AL35:AL58" si="27">(((((((((((B35)+(E35))+(H35))+(K35))+(N35))+(Q35))+(T35))+(W35))+(Z35))+(AC35))+(AF35))+(AI35)</f>
        <v>1400</v>
      </c>
      <c r="AM35" s="12">
        <f t="shared" ref="AM35:AM57" si="28">(((((((((((C35)+(F35))+(I35))+(L35))+(O35))+(R35))+(U35))+(X35))+(AA35))+(AD35))+(AG35))+(AJ35)</f>
        <v>0</v>
      </c>
      <c r="AN35" s="5">
        <v>1000</v>
      </c>
    </row>
    <row r="36" spans="1:40" x14ac:dyDescent="0.45">
      <c r="A36" s="3" t="s">
        <v>43</v>
      </c>
      <c r="B36" s="4"/>
      <c r="C36" s="4"/>
      <c r="D36" s="5">
        <f t="shared" si="15"/>
        <v>0</v>
      </c>
      <c r="E36" s="4"/>
      <c r="F36" s="4"/>
      <c r="G36" s="5">
        <f t="shared" si="16"/>
        <v>0</v>
      </c>
      <c r="H36" s="4"/>
      <c r="I36" s="4"/>
      <c r="J36" s="5">
        <f t="shared" si="17"/>
        <v>0</v>
      </c>
      <c r="K36" s="4"/>
      <c r="L36" s="4"/>
      <c r="M36" s="5">
        <f t="shared" si="18"/>
        <v>0</v>
      </c>
      <c r="N36" s="4"/>
      <c r="O36" s="4"/>
      <c r="P36" s="5">
        <f t="shared" si="19"/>
        <v>0</v>
      </c>
      <c r="Q36" s="4"/>
      <c r="R36" s="4"/>
      <c r="S36" s="5">
        <f t="shared" si="20"/>
        <v>0</v>
      </c>
      <c r="T36" s="4"/>
      <c r="U36" s="4"/>
      <c r="V36" s="5">
        <f t="shared" si="21"/>
        <v>0</v>
      </c>
      <c r="W36" s="4"/>
      <c r="X36" s="4"/>
      <c r="Y36" s="5">
        <f t="shared" si="22"/>
        <v>0</v>
      </c>
      <c r="Z36" s="4"/>
      <c r="AA36" s="4"/>
      <c r="AB36" s="5">
        <f t="shared" si="23"/>
        <v>0</v>
      </c>
      <c r="AC36" s="4"/>
      <c r="AD36" s="4"/>
      <c r="AE36" s="5">
        <f t="shared" si="24"/>
        <v>0</v>
      </c>
      <c r="AF36" s="4"/>
      <c r="AG36" s="4"/>
      <c r="AH36" s="5">
        <f t="shared" si="25"/>
        <v>0</v>
      </c>
      <c r="AI36" s="4"/>
      <c r="AJ36" s="4"/>
      <c r="AK36" s="5">
        <f t="shared" si="26"/>
        <v>0</v>
      </c>
      <c r="AL36" s="5">
        <f t="shared" si="27"/>
        <v>0</v>
      </c>
      <c r="AM36" s="12">
        <f t="shared" si="28"/>
        <v>0</v>
      </c>
      <c r="AN36" s="5">
        <f t="shared" ref="AN36:AN45" si="29">(AM36)-(AL36)</f>
        <v>0</v>
      </c>
    </row>
    <row r="37" spans="1:40" x14ac:dyDescent="0.45">
      <c r="A37" s="3" t="s">
        <v>44</v>
      </c>
      <c r="B37" s="4"/>
      <c r="C37" s="4"/>
      <c r="D37" s="5">
        <f t="shared" si="15"/>
        <v>0</v>
      </c>
      <c r="E37" s="4"/>
      <c r="F37" s="4"/>
      <c r="G37" s="5">
        <f t="shared" si="16"/>
        <v>0</v>
      </c>
      <c r="H37" s="4"/>
      <c r="I37" s="4"/>
      <c r="J37" s="5">
        <f t="shared" si="17"/>
        <v>0</v>
      </c>
      <c r="K37" s="4"/>
      <c r="L37" s="4"/>
      <c r="M37" s="5">
        <f t="shared" si="18"/>
        <v>0</v>
      </c>
      <c r="N37" s="4"/>
      <c r="O37" s="4"/>
      <c r="P37" s="5">
        <f t="shared" si="19"/>
        <v>0</v>
      </c>
      <c r="Q37" s="4"/>
      <c r="R37" s="4"/>
      <c r="S37" s="5">
        <f t="shared" si="20"/>
        <v>0</v>
      </c>
      <c r="T37" s="4"/>
      <c r="U37" s="4"/>
      <c r="V37" s="5">
        <f t="shared" si="21"/>
        <v>0</v>
      </c>
      <c r="W37" s="4"/>
      <c r="X37" s="4"/>
      <c r="Y37" s="5">
        <f t="shared" si="22"/>
        <v>0</v>
      </c>
      <c r="Z37" s="4"/>
      <c r="AA37" s="4"/>
      <c r="AB37" s="5">
        <f t="shared" si="23"/>
        <v>0</v>
      </c>
      <c r="AC37" s="4"/>
      <c r="AD37" s="4"/>
      <c r="AE37" s="5">
        <f t="shared" si="24"/>
        <v>0</v>
      </c>
      <c r="AF37" s="4"/>
      <c r="AG37" s="4"/>
      <c r="AH37" s="5">
        <f t="shared" si="25"/>
        <v>0</v>
      </c>
      <c r="AI37" s="4"/>
      <c r="AJ37" s="4"/>
      <c r="AK37" s="5">
        <f t="shared" si="26"/>
        <v>0</v>
      </c>
      <c r="AL37" s="5">
        <f t="shared" si="27"/>
        <v>0</v>
      </c>
      <c r="AM37" s="12">
        <f t="shared" si="28"/>
        <v>0</v>
      </c>
      <c r="AN37" s="5">
        <f t="shared" si="29"/>
        <v>0</v>
      </c>
    </row>
    <row r="38" spans="1:40" x14ac:dyDescent="0.45">
      <c r="A38" s="3" t="s">
        <v>45</v>
      </c>
      <c r="B38" s="4"/>
      <c r="C38" s="4"/>
      <c r="D38" s="5">
        <f t="shared" si="15"/>
        <v>0</v>
      </c>
      <c r="E38" s="4"/>
      <c r="F38" s="4"/>
      <c r="G38" s="5">
        <f t="shared" si="16"/>
        <v>0</v>
      </c>
      <c r="H38" s="4"/>
      <c r="I38" s="4"/>
      <c r="J38" s="5">
        <f t="shared" si="17"/>
        <v>0</v>
      </c>
      <c r="K38" s="4"/>
      <c r="L38" s="4"/>
      <c r="M38" s="5">
        <f t="shared" si="18"/>
        <v>0</v>
      </c>
      <c r="N38" s="5">
        <f>30</f>
        <v>30</v>
      </c>
      <c r="O38" s="4"/>
      <c r="P38" s="5">
        <f t="shared" si="19"/>
        <v>-30</v>
      </c>
      <c r="Q38" s="5">
        <f>15</f>
        <v>15</v>
      </c>
      <c r="R38" s="4"/>
      <c r="S38" s="5">
        <f t="shared" si="20"/>
        <v>-15</v>
      </c>
      <c r="T38" s="5">
        <f>0</f>
        <v>0</v>
      </c>
      <c r="U38" s="4"/>
      <c r="V38" s="5">
        <f t="shared" si="21"/>
        <v>0</v>
      </c>
      <c r="W38" s="4"/>
      <c r="X38" s="4"/>
      <c r="Y38" s="5">
        <f t="shared" si="22"/>
        <v>0</v>
      </c>
      <c r="Z38" s="4"/>
      <c r="AA38" s="4"/>
      <c r="AB38" s="5">
        <f t="shared" si="23"/>
        <v>0</v>
      </c>
      <c r="AC38" s="4"/>
      <c r="AD38" s="4"/>
      <c r="AE38" s="5">
        <f t="shared" si="24"/>
        <v>0</v>
      </c>
      <c r="AF38" s="4"/>
      <c r="AG38" s="4"/>
      <c r="AH38" s="5">
        <f t="shared" si="25"/>
        <v>0</v>
      </c>
      <c r="AI38" s="4"/>
      <c r="AJ38" s="4"/>
      <c r="AK38" s="5">
        <f t="shared" si="26"/>
        <v>0</v>
      </c>
      <c r="AL38" s="5">
        <f t="shared" si="27"/>
        <v>45</v>
      </c>
      <c r="AM38" s="12">
        <f t="shared" si="28"/>
        <v>0</v>
      </c>
      <c r="AN38" s="5"/>
    </row>
    <row r="39" spans="1:40" x14ac:dyDescent="0.45">
      <c r="A39" s="3" t="s">
        <v>46</v>
      </c>
      <c r="B39" s="6">
        <f>(((((B33)+(B34))+(B35))+(B36))+(B37))+(B38)</f>
        <v>0</v>
      </c>
      <c r="C39" s="6">
        <f>(((((C33)+(C34))+(C35))+(C36))+(C37))+(C38)</f>
        <v>416.67</v>
      </c>
      <c r="D39" s="6">
        <f t="shared" si="15"/>
        <v>416.67</v>
      </c>
      <c r="E39" s="6">
        <f>(((((E33)+(E34))+(E35))+(E36))+(E37))+(E38)</f>
        <v>2318</v>
      </c>
      <c r="F39" s="6">
        <f>(((((F33)+(F34))+(F35))+(F36))+(F37))+(F38)</f>
        <v>416.67</v>
      </c>
      <c r="G39" s="6">
        <f t="shared" si="16"/>
        <v>-1901.33</v>
      </c>
      <c r="H39" s="6">
        <f>(((((H33)+(H34))+(H35))+(H36))+(H37))+(H38)</f>
        <v>0</v>
      </c>
      <c r="I39" s="6">
        <f>(((((I33)+(I34))+(I35))+(I36))+(I37))+(I38)</f>
        <v>416.67</v>
      </c>
      <c r="J39" s="6">
        <f t="shared" si="17"/>
        <v>416.67</v>
      </c>
      <c r="K39" s="6">
        <f>(((((K33)+(K34))+(K35))+(K36))+(K37))+(K38)</f>
        <v>1325</v>
      </c>
      <c r="L39" s="6">
        <f>(((((L33)+(L34))+(L35))+(L36))+(L37))+(L38)</f>
        <v>416.67</v>
      </c>
      <c r="M39" s="6">
        <f t="shared" si="18"/>
        <v>-908.32999999999993</v>
      </c>
      <c r="N39" s="6">
        <f>(((((N33)+(N34))+(N35))+(N36))+(N37))+(N38)</f>
        <v>230</v>
      </c>
      <c r="O39" s="6">
        <f>(((((O33)+(O34))+(O35))+(O36))+(O37))+(O38)</f>
        <v>416.67</v>
      </c>
      <c r="P39" s="6">
        <f t="shared" si="19"/>
        <v>186.67000000000002</v>
      </c>
      <c r="Q39" s="6">
        <f>(((((Q33)+(Q34))+(Q35))+(Q36))+(Q37))+(Q38)</f>
        <v>231</v>
      </c>
      <c r="R39" s="6">
        <f>(((((R33)+(R34))+(R35))+(R36))+(R37))+(R38)</f>
        <v>416.67</v>
      </c>
      <c r="S39" s="6">
        <f t="shared" si="20"/>
        <v>185.67000000000002</v>
      </c>
      <c r="T39" s="6">
        <f>(((((T33)+(T34))+(T35))+(T36))+(T37))+(T38)</f>
        <v>30</v>
      </c>
      <c r="U39" s="6">
        <f>(((((U33)+(U34))+(U35))+(U36))+(U37))+(U38)</f>
        <v>416.67</v>
      </c>
      <c r="V39" s="6">
        <f t="shared" si="21"/>
        <v>386.67</v>
      </c>
      <c r="W39" s="6">
        <f>(((((W33)+(W34))+(W35))+(W36))+(W37))+(W38)</f>
        <v>0</v>
      </c>
      <c r="X39" s="6">
        <f>(((((X33)+(X34))+(X35))+(X36))+(X37))+(X38)</f>
        <v>416.67</v>
      </c>
      <c r="Y39" s="6">
        <f t="shared" si="22"/>
        <v>416.67</v>
      </c>
      <c r="Z39" s="6">
        <f>(((((Z33)+(Z34))+(Z35))+(Z36))+(Z37))+(Z38)</f>
        <v>0</v>
      </c>
      <c r="AA39" s="6">
        <f>(((((AA33)+(AA34))+(AA35))+(AA36))+(AA37))+(AA38)</f>
        <v>416.67</v>
      </c>
      <c r="AB39" s="6">
        <f t="shared" si="23"/>
        <v>416.67</v>
      </c>
      <c r="AC39" s="6">
        <f>(((((AC33)+(AC34))+(AC35))+(AC36))+(AC37))+(AC38)</f>
        <v>0</v>
      </c>
      <c r="AD39" s="6">
        <f>(((((AD33)+(AD34))+(AD35))+(AD36))+(AD37))+(AD38)</f>
        <v>416.67</v>
      </c>
      <c r="AE39" s="6">
        <f t="shared" si="24"/>
        <v>416.67</v>
      </c>
      <c r="AF39" s="6">
        <f>(((((AF33)+(AF34))+(AF35))+(AF36))+(AF37))+(AF38)</f>
        <v>0</v>
      </c>
      <c r="AG39" s="6">
        <f>(((((AG33)+(AG34))+(AG35))+(AG36))+(AG37))+(AG38)</f>
        <v>416.67</v>
      </c>
      <c r="AH39" s="6">
        <f t="shared" si="25"/>
        <v>416.67</v>
      </c>
      <c r="AI39" s="6">
        <f>(((((AI33)+(AI34))+(AI35))+(AI36))+(AI37))+(AI38)</f>
        <v>0</v>
      </c>
      <c r="AJ39" s="6">
        <f>(((((AJ33)+(AJ34))+(AJ35))+(AJ36))+(AJ37))+(AJ38)</f>
        <v>416.63</v>
      </c>
      <c r="AK39" s="6">
        <f t="shared" si="26"/>
        <v>416.63</v>
      </c>
      <c r="AL39" s="6">
        <f t="shared" si="27"/>
        <v>4134</v>
      </c>
      <c r="AM39" s="13">
        <f t="shared" si="28"/>
        <v>5000</v>
      </c>
      <c r="AN39" s="6">
        <v>4500</v>
      </c>
    </row>
    <row r="40" spans="1:40" x14ac:dyDescent="0.45">
      <c r="A40" s="3" t="s">
        <v>47</v>
      </c>
      <c r="B40" s="4"/>
      <c r="C40" s="4"/>
      <c r="D40" s="5">
        <f t="shared" si="15"/>
        <v>0</v>
      </c>
      <c r="E40" s="4"/>
      <c r="F40" s="4"/>
      <c r="G40" s="5">
        <f t="shared" si="16"/>
        <v>0</v>
      </c>
      <c r="H40" s="4"/>
      <c r="I40" s="4"/>
      <c r="J40" s="5">
        <f t="shared" si="17"/>
        <v>0</v>
      </c>
      <c r="K40" s="4"/>
      <c r="L40" s="4"/>
      <c r="M40" s="5">
        <f t="shared" si="18"/>
        <v>0</v>
      </c>
      <c r="N40" s="4"/>
      <c r="O40" s="4"/>
      <c r="P40" s="5">
        <f t="shared" si="19"/>
        <v>0</v>
      </c>
      <c r="Q40" s="4"/>
      <c r="R40" s="4"/>
      <c r="S40" s="5">
        <f t="shared" si="20"/>
        <v>0</v>
      </c>
      <c r="T40" s="4"/>
      <c r="U40" s="4"/>
      <c r="V40" s="5">
        <f t="shared" si="21"/>
        <v>0</v>
      </c>
      <c r="W40" s="4"/>
      <c r="X40" s="4"/>
      <c r="Y40" s="5">
        <f t="shared" si="22"/>
        <v>0</v>
      </c>
      <c r="Z40" s="4"/>
      <c r="AA40" s="4"/>
      <c r="AB40" s="5">
        <f t="shared" si="23"/>
        <v>0</v>
      </c>
      <c r="AC40" s="4"/>
      <c r="AD40" s="4"/>
      <c r="AE40" s="5">
        <f t="shared" si="24"/>
        <v>0</v>
      </c>
      <c r="AF40" s="4"/>
      <c r="AG40" s="4"/>
      <c r="AH40" s="5">
        <f t="shared" si="25"/>
        <v>0</v>
      </c>
      <c r="AI40" s="4"/>
      <c r="AJ40" s="4"/>
      <c r="AK40" s="5">
        <f t="shared" si="26"/>
        <v>0</v>
      </c>
      <c r="AL40" s="5">
        <f t="shared" si="27"/>
        <v>0</v>
      </c>
      <c r="AM40" s="12">
        <f t="shared" si="28"/>
        <v>0</v>
      </c>
      <c r="AN40" s="5">
        <f t="shared" si="29"/>
        <v>0</v>
      </c>
    </row>
    <row r="41" spans="1:40" x14ac:dyDescent="0.45">
      <c r="A41" s="3" t="s">
        <v>48</v>
      </c>
      <c r="B41" s="5">
        <f>0</f>
        <v>0</v>
      </c>
      <c r="C41" s="4"/>
      <c r="D41" s="5">
        <f t="shared" si="15"/>
        <v>0</v>
      </c>
      <c r="E41" s="4"/>
      <c r="F41" s="4"/>
      <c r="G41" s="5">
        <f t="shared" si="16"/>
        <v>0</v>
      </c>
      <c r="H41" s="4"/>
      <c r="I41" s="4"/>
      <c r="J41" s="5">
        <f t="shared" si="17"/>
        <v>0</v>
      </c>
      <c r="K41" s="4"/>
      <c r="L41" s="4"/>
      <c r="M41" s="5">
        <f t="shared" si="18"/>
        <v>0</v>
      </c>
      <c r="N41" s="4"/>
      <c r="O41" s="4"/>
      <c r="P41" s="5">
        <f t="shared" si="19"/>
        <v>0</v>
      </c>
      <c r="Q41" s="4"/>
      <c r="R41" s="4"/>
      <c r="S41" s="5">
        <f t="shared" si="20"/>
        <v>0</v>
      </c>
      <c r="T41" s="4"/>
      <c r="U41" s="4"/>
      <c r="V41" s="5">
        <f t="shared" si="21"/>
        <v>0</v>
      </c>
      <c r="W41" s="4"/>
      <c r="X41" s="4"/>
      <c r="Y41" s="5">
        <f t="shared" si="22"/>
        <v>0</v>
      </c>
      <c r="Z41" s="4"/>
      <c r="AA41" s="4"/>
      <c r="AB41" s="5">
        <f t="shared" si="23"/>
        <v>0</v>
      </c>
      <c r="AC41" s="4"/>
      <c r="AD41" s="4"/>
      <c r="AE41" s="5">
        <f t="shared" si="24"/>
        <v>0</v>
      </c>
      <c r="AF41" s="4"/>
      <c r="AG41" s="4"/>
      <c r="AH41" s="5">
        <f t="shared" si="25"/>
        <v>0</v>
      </c>
      <c r="AI41" s="4"/>
      <c r="AJ41" s="4"/>
      <c r="AK41" s="5">
        <f t="shared" si="26"/>
        <v>0</v>
      </c>
      <c r="AL41" s="5">
        <f t="shared" si="27"/>
        <v>0</v>
      </c>
      <c r="AM41" s="12">
        <f t="shared" si="28"/>
        <v>0</v>
      </c>
      <c r="AN41" s="5">
        <f t="shared" si="29"/>
        <v>0</v>
      </c>
    </row>
    <row r="42" spans="1:40" x14ac:dyDescent="0.45">
      <c r="A42" s="3" t="s">
        <v>49</v>
      </c>
      <c r="B42" s="4"/>
      <c r="C42" s="4"/>
      <c r="D42" s="5">
        <f t="shared" si="15"/>
        <v>0</v>
      </c>
      <c r="E42" s="5">
        <f>380</f>
        <v>380</v>
      </c>
      <c r="F42" s="4"/>
      <c r="G42" s="5">
        <f t="shared" si="16"/>
        <v>-380</v>
      </c>
      <c r="H42" s="5">
        <f>610</f>
        <v>610</v>
      </c>
      <c r="I42" s="4"/>
      <c r="J42" s="5">
        <f t="shared" si="17"/>
        <v>-610</v>
      </c>
      <c r="K42" s="4"/>
      <c r="L42" s="4"/>
      <c r="M42" s="5">
        <f t="shared" si="18"/>
        <v>0</v>
      </c>
      <c r="N42" s="5">
        <f>50</f>
        <v>50</v>
      </c>
      <c r="O42" s="4"/>
      <c r="P42" s="5">
        <f t="shared" si="19"/>
        <v>-50</v>
      </c>
      <c r="Q42" s="4"/>
      <c r="R42" s="4"/>
      <c r="S42" s="5">
        <f t="shared" si="20"/>
        <v>0</v>
      </c>
      <c r="T42" s="4"/>
      <c r="U42" s="4"/>
      <c r="V42" s="5">
        <f t="shared" si="21"/>
        <v>0</v>
      </c>
      <c r="W42" s="4"/>
      <c r="X42" s="4"/>
      <c r="Y42" s="5">
        <f t="shared" si="22"/>
        <v>0</v>
      </c>
      <c r="Z42" s="4"/>
      <c r="AA42" s="4"/>
      <c r="AB42" s="5">
        <f t="shared" si="23"/>
        <v>0</v>
      </c>
      <c r="AC42" s="4"/>
      <c r="AD42" s="4"/>
      <c r="AE42" s="5">
        <f t="shared" si="24"/>
        <v>0</v>
      </c>
      <c r="AF42" s="4"/>
      <c r="AG42" s="4"/>
      <c r="AH42" s="5">
        <f t="shared" si="25"/>
        <v>0</v>
      </c>
      <c r="AI42" s="4"/>
      <c r="AJ42" s="4"/>
      <c r="AK42" s="5">
        <f t="shared" si="26"/>
        <v>0</v>
      </c>
      <c r="AL42" s="5">
        <f t="shared" si="27"/>
        <v>1040</v>
      </c>
      <c r="AM42" s="12">
        <f t="shared" si="28"/>
        <v>0</v>
      </c>
      <c r="AN42" s="5"/>
    </row>
    <row r="43" spans="1:40" x14ac:dyDescent="0.45">
      <c r="A43" s="3" t="s">
        <v>50</v>
      </c>
      <c r="B43" s="4"/>
      <c r="C43" s="4"/>
      <c r="D43" s="5">
        <f t="shared" si="15"/>
        <v>0</v>
      </c>
      <c r="E43" s="4"/>
      <c r="F43" s="4"/>
      <c r="G43" s="5">
        <f t="shared" si="16"/>
        <v>0</v>
      </c>
      <c r="H43" s="4"/>
      <c r="I43" s="4"/>
      <c r="J43" s="5">
        <f t="shared" si="17"/>
        <v>0</v>
      </c>
      <c r="K43" s="4"/>
      <c r="L43" s="4"/>
      <c r="M43" s="5">
        <f t="shared" si="18"/>
        <v>0</v>
      </c>
      <c r="N43" s="4"/>
      <c r="O43" s="4"/>
      <c r="P43" s="5">
        <f t="shared" si="19"/>
        <v>0</v>
      </c>
      <c r="Q43" s="4"/>
      <c r="R43" s="4"/>
      <c r="S43" s="5">
        <f t="shared" si="20"/>
        <v>0</v>
      </c>
      <c r="T43" s="4"/>
      <c r="U43" s="4"/>
      <c r="V43" s="5">
        <f t="shared" si="21"/>
        <v>0</v>
      </c>
      <c r="W43" s="4"/>
      <c r="X43" s="4"/>
      <c r="Y43" s="5">
        <f t="shared" si="22"/>
        <v>0</v>
      </c>
      <c r="Z43" s="4"/>
      <c r="AA43" s="4"/>
      <c r="AB43" s="5">
        <f t="shared" si="23"/>
        <v>0</v>
      </c>
      <c r="AC43" s="4"/>
      <c r="AD43" s="4"/>
      <c r="AE43" s="5">
        <f t="shared" si="24"/>
        <v>0</v>
      </c>
      <c r="AF43" s="4"/>
      <c r="AG43" s="4"/>
      <c r="AH43" s="5">
        <f t="shared" si="25"/>
        <v>0</v>
      </c>
      <c r="AI43" s="4"/>
      <c r="AJ43" s="4"/>
      <c r="AK43" s="5">
        <f t="shared" si="26"/>
        <v>0</v>
      </c>
      <c r="AL43" s="5">
        <f t="shared" si="27"/>
        <v>0</v>
      </c>
      <c r="AM43" s="12">
        <f t="shared" si="28"/>
        <v>0</v>
      </c>
      <c r="AN43" s="5">
        <f t="shared" si="29"/>
        <v>0</v>
      </c>
    </row>
    <row r="44" spans="1:40" x14ac:dyDescent="0.45">
      <c r="A44" s="3" t="s">
        <v>51</v>
      </c>
      <c r="B44" s="4"/>
      <c r="C44" s="4"/>
      <c r="D44" s="5">
        <f t="shared" si="15"/>
        <v>0</v>
      </c>
      <c r="E44" s="4"/>
      <c r="F44" s="4"/>
      <c r="G44" s="5">
        <f t="shared" si="16"/>
        <v>0</v>
      </c>
      <c r="H44" s="4"/>
      <c r="I44" s="4"/>
      <c r="J44" s="5">
        <f t="shared" si="17"/>
        <v>0</v>
      </c>
      <c r="K44" s="4"/>
      <c r="L44" s="4"/>
      <c r="M44" s="5">
        <f t="shared" si="18"/>
        <v>0</v>
      </c>
      <c r="N44" s="4"/>
      <c r="O44" s="4"/>
      <c r="P44" s="5">
        <f t="shared" si="19"/>
        <v>0</v>
      </c>
      <c r="Q44" s="4"/>
      <c r="R44" s="4"/>
      <c r="S44" s="5">
        <f t="shared" si="20"/>
        <v>0</v>
      </c>
      <c r="T44" s="4"/>
      <c r="U44" s="4"/>
      <c r="V44" s="5">
        <f t="shared" si="21"/>
        <v>0</v>
      </c>
      <c r="W44" s="4"/>
      <c r="X44" s="4"/>
      <c r="Y44" s="5">
        <f t="shared" si="22"/>
        <v>0</v>
      </c>
      <c r="Z44" s="4"/>
      <c r="AA44" s="4"/>
      <c r="AB44" s="5">
        <f t="shared" si="23"/>
        <v>0</v>
      </c>
      <c r="AC44" s="4"/>
      <c r="AD44" s="4"/>
      <c r="AE44" s="5">
        <f t="shared" si="24"/>
        <v>0</v>
      </c>
      <c r="AF44" s="4"/>
      <c r="AG44" s="4"/>
      <c r="AH44" s="5">
        <f t="shared" si="25"/>
        <v>0</v>
      </c>
      <c r="AI44" s="4"/>
      <c r="AJ44" s="4"/>
      <c r="AK44" s="5">
        <f t="shared" si="26"/>
        <v>0</v>
      </c>
      <c r="AL44" s="5">
        <f t="shared" si="27"/>
        <v>0</v>
      </c>
      <c r="AM44" s="12">
        <f t="shared" si="28"/>
        <v>0</v>
      </c>
      <c r="AN44" s="5">
        <f t="shared" si="29"/>
        <v>0</v>
      </c>
    </row>
    <row r="45" spans="1:40" x14ac:dyDescent="0.45">
      <c r="A45" s="3" t="s">
        <v>52</v>
      </c>
      <c r="B45" s="4"/>
      <c r="C45" s="4"/>
      <c r="D45" s="5">
        <f t="shared" si="15"/>
        <v>0</v>
      </c>
      <c r="E45" s="4"/>
      <c r="F45" s="4"/>
      <c r="G45" s="5">
        <f t="shared" si="16"/>
        <v>0</v>
      </c>
      <c r="H45" s="4"/>
      <c r="I45" s="4"/>
      <c r="J45" s="5">
        <f t="shared" si="17"/>
        <v>0</v>
      </c>
      <c r="K45" s="4"/>
      <c r="L45" s="4"/>
      <c r="M45" s="5">
        <f t="shared" si="18"/>
        <v>0</v>
      </c>
      <c r="N45" s="4"/>
      <c r="O45" s="4"/>
      <c r="P45" s="5">
        <f t="shared" si="19"/>
        <v>0</v>
      </c>
      <c r="Q45" s="4"/>
      <c r="R45" s="4"/>
      <c r="S45" s="5">
        <f t="shared" si="20"/>
        <v>0</v>
      </c>
      <c r="T45" s="4"/>
      <c r="U45" s="4"/>
      <c r="V45" s="5">
        <f t="shared" si="21"/>
        <v>0</v>
      </c>
      <c r="W45" s="4"/>
      <c r="X45" s="4"/>
      <c r="Y45" s="5">
        <f t="shared" si="22"/>
        <v>0</v>
      </c>
      <c r="Z45" s="4"/>
      <c r="AA45" s="4"/>
      <c r="AB45" s="5">
        <f t="shared" si="23"/>
        <v>0</v>
      </c>
      <c r="AC45" s="4"/>
      <c r="AD45" s="4"/>
      <c r="AE45" s="5">
        <f t="shared" si="24"/>
        <v>0</v>
      </c>
      <c r="AF45" s="4"/>
      <c r="AG45" s="4"/>
      <c r="AH45" s="5">
        <f t="shared" si="25"/>
        <v>0</v>
      </c>
      <c r="AI45" s="4"/>
      <c r="AJ45" s="4"/>
      <c r="AK45" s="5">
        <f t="shared" si="26"/>
        <v>0</v>
      </c>
      <c r="AL45" s="5">
        <f t="shared" si="27"/>
        <v>0</v>
      </c>
      <c r="AM45" s="12">
        <f t="shared" si="28"/>
        <v>0</v>
      </c>
      <c r="AN45" s="5">
        <f t="shared" si="29"/>
        <v>0</v>
      </c>
    </row>
    <row r="46" spans="1:40" x14ac:dyDescent="0.45">
      <c r="A46" s="3" t="s">
        <v>53</v>
      </c>
      <c r="B46" s="6">
        <f>(((((B40)+(B41))+(B42))+(B43))+(B44))+(B45)</f>
        <v>0</v>
      </c>
      <c r="C46" s="6">
        <f>(((((C40)+(C41))+(C42))+(C43))+(C44))+(C45)</f>
        <v>0</v>
      </c>
      <c r="D46" s="6">
        <f t="shared" si="15"/>
        <v>0</v>
      </c>
      <c r="E46" s="6">
        <f>(((((E40)+(E41))+(E42))+(E43))+(E44))+(E45)</f>
        <v>380</v>
      </c>
      <c r="F46" s="6">
        <f>(((((F40)+(F41))+(F42))+(F43))+(F44))+(F45)</f>
        <v>0</v>
      </c>
      <c r="G46" s="6">
        <f t="shared" si="16"/>
        <v>-380</v>
      </c>
      <c r="H46" s="6">
        <f>(((((H40)+(H41))+(H42))+(H43))+(H44))+(H45)</f>
        <v>610</v>
      </c>
      <c r="I46" s="6">
        <f>(((((I40)+(I41))+(I42))+(I43))+(I44))+(I45)</f>
        <v>0</v>
      </c>
      <c r="J46" s="6">
        <f t="shared" si="17"/>
        <v>-610</v>
      </c>
      <c r="K46" s="6">
        <f>(((((K40)+(K41))+(K42))+(K43))+(K44))+(K45)</f>
        <v>0</v>
      </c>
      <c r="L46" s="6">
        <f>(((((L40)+(L41))+(L42))+(L43))+(L44))+(L45)</f>
        <v>0</v>
      </c>
      <c r="M46" s="6">
        <f t="shared" si="18"/>
        <v>0</v>
      </c>
      <c r="N46" s="6">
        <f>(((((N40)+(N41))+(N42))+(N43))+(N44))+(N45)</f>
        <v>50</v>
      </c>
      <c r="O46" s="6">
        <f>(((((O40)+(O41))+(O42))+(O43))+(O44))+(O45)</f>
        <v>0</v>
      </c>
      <c r="P46" s="6">
        <f t="shared" si="19"/>
        <v>-50</v>
      </c>
      <c r="Q46" s="6">
        <f>(((((Q40)+(Q41))+(Q42))+(Q43))+(Q44))+(Q45)</f>
        <v>0</v>
      </c>
      <c r="R46" s="6">
        <f>(((((R40)+(R41))+(R42))+(R43))+(R44))+(R45)</f>
        <v>0</v>
      </c>
      <c r="S46" s="6">
        <f t="shared" si="20"/>
        <v>0</v>
      </c>
      <c r="T46" s="6">
        <f>(((((T40)+(T41))+(T42))+(T43))+(T44))+(T45)</f>
        <v>0</v>
      </c>
      <c r="U46" s="6">
        <f>(((((U40)+(U41))+(U42))+(U43))+(U44))+(U45)</f>
        <v>0</v>
      </c>
      <c r="V46" s="6">
        <f t="shared" si="21"/>
        <v>0</v>
      </c>
      <c r="W46" s="6">
        <f>(((((W40)+(W41))+(W42))+(W43))+(W44))+(W45)</f>
        <v>0</v>
      </c>
      <c r="X46" s="6">
        <f>(((((X40)+(X41))+(X42))+(X43))+(X44))+(X45)</f>
        <v>0</v>
      </c>
      <c r="Y46" s="6">
        <f t="shared" si="22"/>
        <v>0</v>
      </c>
      <c r="Z46" s="6">
        <f>(((((Z40)+(Z41))+(Z42))+(Z43))+(Z44))+(Z45)</f>
        <v>0</v>
      </c>
      <c r="AA46" s="6">
        <f>(((((AA40)+(AA41))+(AA42))+(AA43))+(AA44))+(AA45)</f>
        <v>0</v>
      </c>
      <c r="AB46" s="6">
        <f t="shared" si="23"/>
        <v>0</v>
      </c>
      <c r="AC46" s="6">
        <f>(((((AC40)+(AC41))+(AC42))+(AC43))+(AC44))+(AC45)</f>
        <v>0</v>
      </c>
      <c r="AD46" s="6">
        <f>(((((AD40)+(AD41))+(AD42))+(AD43))+(AD44))+(AD45)</f>
        <v>0</v>
      </c>
      <c r="AE46" s="6">
        <f t="shared" si="24"/>
        <v>0</v>
      </c>
      <c r="AF46" s="6">
        <f>(((((AF40)+(AF41))+(AF42))+(AF43))+(AF44))+(AF45)</f>
        <v>0</v>
      </c>
      <c r="AG46" s="6">
        <f>(((((AG40)+(AG41))+(AG42))+(AG43))+(AG44))+(AG45)</f>
        <v>0</v>
      </c>
      <c r="AH46" s="6">
        <f t="shared" si="25"/>
        <v>0</v>
      </c>
      <c r="AI46" s="6">
        <f>(((((AI40)+(AI41))+(AI42))+(AI43))+(AI44))+(AI45)</f>
        <v>0</v>
      </c>
      <c r="AJ46" s="6">
        <f>(((((AJ40)+(AJ41))+(AJ42))+(AJ43))+(AJ44))+(AJ45)</f>
        <v>0</v>
      </c>
      <c r="AK46" s="6">
        <f t="shared" si="26"/>
        <v>0</v>
      </c>
      <c r="AL46" s="6">
        <f t="shared" si="27"/>
        <v>1040</v>
      </c>
      <c r="AM46" s="13">
        <f t="shared" si="28"/>
        <v>0</v>
      </c>
      <c r="AN46" s="6"/>
    </row>
    <row r="47" spans="1:40" x14ac:dyDescent="0.45">
      <c r="A47" s="3" t="s">
        <v>54</v>
      </c>
      <c r="B47" s="4"/>
      <c r="C47" s="4"/>
      <c r="D47" s="5">
        <f t="shared" si="15"/>
        <v>0</v>
      </c>
      <c r="E47" s="4"/>
      <c r="F47" s="4"/>
      <c r="G47" s="5">
        <f t="shared" si="16"/>
        <v>0</v>
      </c>
      <c r="H47" s="4"/>
      <c r="I47" s="4"/>
      <c r="J47" s="5">
        <f t="shared" si="17"/>
        <v>0</v>
      </c>
      <c r="K47" s="4"/>
      <c r="L47" s="4"/>
      <c r="M47" s="5">
        <f t="shared" si="18"/>
        <v>0</v>
      </c>
      <c r="N47" s="4"/>
      <c r="O47" s="4"/>
      <c r="P47" s="5">
        <f t="shared" si="19"/>
        <v>0</v>
      </c>
      <c r="Q47" s="4"/>
      <c r="R47" s="4"/>
      <c r="S47" s="5">
        <f t="shared" si="20"/>
        <v>0</v>
      </c>
      <c r="T47" s="4"/>
      <c r="U47" s="4"/>
      <c r="V47" s="5">
        <f t="shared" si="21"/>
        <v>0</v>
      </c>
      <c r="W47" s="4"/>
      <c r="X47" s="4"/>
      <c r="Y47" s="5">
        <f t="shared" si="22"/>
        <v>0</v>
      </c>
      <c r="Z47" s="4"/>
      <c r="AA47" s="4"/>
      <c r="AB47" s="5">
        <f t="shared" si="23"/>
        <v>0</v>
      </c>
      <c r="AC47" s="4"/>
      <c r="AD47" s="4"/>
      <c r="AE47" s="5">
        <f t="shared" si="24"/>
        <v>0</v>
      </c>
      <c r="AF47" s="4"/>
      <c r="AG47" s="4"/>
      <c r="AH47" s="5">
        <f t="shared" si="25"/>
        <v>0</v>
      </c>
      <c r="AI47" s="4"/>
      <c r="AJ47" s="4"/>
      <c r="AK47" s="5">
        <f t="shared" si="26"/>
        <v>0</v>
      </c>
      <c r="AL47" s="5">
        <f t="shared" si="27"/>
        <v>0</v>
      </c>
      <c r="AM47" s="12">
        <f t="shared" si="28"/>
        <v>0</v>
      </c>
      <c r="AN47" s="5"/>
    </row>
    <row r="48" spans="1:40" x14ac:dyDescent="0.45">
      <c r="A48" s="3" t="s">
        <v>55</v>
      </c>
      <c r="B48" s="5">
        <f>11.64</f>
        <v>11.64</v>
      </c>
      <c r="C48" s="4"/>
      <c r="D48" s="5">
        <f t="shared" si="15"/>
        <v>-11.64</v>
      </c>
      <c r="E48" s="5">
        <f>11.64</f>
        <v>11.64</v>
      </c>
      <c r="F48" s="4"/>
      <c r="G48" s="5">
        <f t="shared" si="16"/>
        <v>-11.64</v>
      </c>
      <c r="H48" s="5">
        <f>11.54</f>
        <v>11.54</v>
      </c>
      <c r="I48" s="4"/>
      <c r="J48" s="5">
        <f t="shared" si="17"/>
        <v>-11.54</v>
      </c>
      <c r="K48" s="5">
        <f>10.99</f>
        <v>10.99</v>
      </c>
      <c r="L48" s="4"/>
      <c r="M48" s="5">
        <f t="shared" si="18"/>
        <v>-10.99</v>
      </c>
      <c r="N48" s="5">
        <f>12.2</f>
        <v>12.2</v>
      </c>
      <c r="O48" s="4"/>
      <c r="P48" s="5">
        <f t="shared" si="19"/>
        <v>-12.2</v>
      </c>
      <c r="Q48" s="5">
        <f>10.89</f>
        <v>10.89</v>
      </c>
      <c r="R48" s="4"/>
      <c r="S48" s="5">
        <f t="shared" si="20"/>
        <v>-10.89</v>
      </c>
      <c r="T48" s="5">
        <f>8.95</f>
        <v>8.9499999999999993</v>
      </c>
      <c r="U48" s="4"/>
      <c r="V48" s="5">
        <f t="shared" si="21"/>
        <v>-8.9499999999999993</v>
      </c>
      <c r="W48" s="5">
        <f>2.67</f>
        <v>2.67</v>
      </c>
      <c r="X48" s="4"/>
      <c r="Y48" s="5">
        <f t="shared" si="22"/>
        <v>-2.67</v>
      </c>
      <c r="Z48" s="4"/>
      <c r="AA48" s="4"/>
      <c r="AB48" s="5">
        <f t="shared" si="23"/>
        <v>0</v>
      </c>
      <c r="AC48" s="4"/>
      <c r="AD48" s="4"/>
      <c r="AE48" s="5">
        <f t="shared" si="24"/>
        <v>0</v>
      </c>
      <c r="AF48" s="4"/>
      <c r="AG48" s="4"/>
      <c r="AH48" s="5">
        <f t="shared" si="25"/>
        <v>0</v>
      </c>
      <c r="AI48" s="4"/>
      <c r="AJ48" s="4"/>
      <c r="AK48" s="5">
        <f t="shared" si="26"/>
        <v>0</v>
      </c>
      <c r="AL48" s="5">
        <f t="shared" si="27"/>
        <v>80.52000000000001</v>
      </c>
      <c r="AM48" s="12">
        <f t="shared" si="28"/>
        <v>0</v>
      </c>
      <c r="AN48" s="5"/>
    </row>
    <row r="49" spans="1:40" x14ac:dyDescent="0.45">
      <c r="A49" s="3" t="s">
        <v>56</v>
      </c>
      <c r="B49" s="4"/>
      <c r="C49" s="4"/>
      <c r="D49" s="5">
        <f t="shared" si="15"/>
        <v>0</v>
      </c>
      <c r="E49" s="4"/>
      <c r="F49" s="4"/>
      <c r="G49" s="5">
        <f t="shared" si="16"/>
        <v>0</v>
      </c>
      <c r="H49" s="4"/>
      <c r="I49" s="4"/>
      <c r="J49" s="5">
        <f t="shared" si="17"/>
        <v>0</v>
      </c>
      <c r="K49" s="4"/>
      <c r="L49" s="4"/>
      <c r="M49" s="5">
        <f t="shared" si="18"/>
        <v>0</v>
      </c>
      <c r="N49" s="4"/>
      <c r="O49" s="4"/>
      <c r="P49" s="5">
        <f t="shared" si="19"/>
        <v>0</v>
      </c>
      <c r="Q49" s="4"/>
      <c r="R49" s="4"/>
      <c r="S49" s="5">
        <f t="shared" si="20"/>
        <v>0</v>
      </c>
      <c r="T49" s="4"/>
      <c r="U49" s="4"/>
      <c r="V49" s="5">
        <f t="shared" si="21"/>
        <v>0</v>
      </c>
      <c r="W49" s="4"/>
      <c r="X49" s="4"/>
      <c r="Y49" s="5">
        <f t="shared" si="22"/>
        <v>0</v>
      </c>
      <c r="Z49" s="4"/>
      <c r="AA49" s="4"/>
      <c r="AB49" s="5">
        <f t="shared" si="23"/>
        <v>0</v>
      </c>
      <c r="AC49" s="4"/>
      <c r="AD49" s="4"/>
      <c r="AE49" s="5">
        <f t="shared" si="24"/>
        <v>0</v>
      </c>
      <c r="AF49" s="4"/>
      <c r="AG49" s="4"/>
      <c r="AH49" s="5">
        <f t="shared" si="25"/>
        <v>0</v>
      </c>
      <c r="AI49" s="4"/>
      <c r="AJ49" s="4"/>
      <c r="AK49" s="5">
        <f t="shared" si="26"/>
        <v>0</v>
      </c>
      <c r="AL49" s="5">
        <f t="shared" si="27"/>
        <v>0</v>
      </c>
      <c r="AM49" s="12">
        <f t="shared" si="28"/>
        <v>0</v>
      </c>
      <c r="AN49" s="5">
        <v>10000</v>
      </c>
    </row>
    <row r="50" spans="1:40" x14ac:dyDescent="0.45">
      <c r="A50" s="3" t="s">
        <v>57</v>
      </c>
      <c r="B50" s="4"/>
      <c r="C50" s="4"/>
      <c r="D50" s="5">
        <f t="shared" si="15"/>
        <v>0</v>
      </c>
      <c r="E50" s="4"/>
      <c r="F50" s="4"/>
      <c r="G50" s="5">
        <f t="shared" si="16"/>
        <v>0</v>
      </c>
      <c r="H50" s="4"/>
      <c r="I50" s="4"/>
      <c r="J50" s="5">
        <f t="shared" si="17"/>
        <v>0</v>
      </c>
      <c r="K50" s="4"/>
      <c r="L50" s="4"/>
      <c r="M50" s="5">
        <f t="shared" si="18"/>
        <v>0</v>
      </c>
      <c r="N50" s="4"/>
      <c r="O50" s="4"/>
      <c r="P50" s="5">
        <f t="shared" si="19"/>
        <v>0</v>
      </c>
      <c r="Q50" s="4"/>
      <c r="R50" s="4"/>
      <c r="S50" s="5">
        <f t="shared" si="20"/>
        <v>0</v>
      </c>
      <c r="T50" s="4"/>
      <c r="U50" s="4"/>
      <c r="V50" s="5">
        <f t="shared" si="21"/>
        <v>0</v>
      </c>
      <c r="W50" s="4"/>
      <c r="X50" s="4"/>
      <c r="Y50" s="5">
        <f t="shared" si="22"/>
        <v>0</v>
      </c>
      <c r="Z50" s="4"/>
      <c r="AA50" s="4"/>
      <c r="AB50" s="5">
        <f t="shared" si="23"/>
        <v>0</v>
      </c>
      <c r="AC50" s="4"/>
      <c r="AD50" s="4"/>
      <c r="AE50" s="5">
        <f t="shared" si="24"/>
        <v>0</v>
      </c>
      <c r="AF50" s="4"/>
      <c r="AG50" s="4"/>
      <c r="AH50" s="5">
        <f t="shared" si="25"/>
        <v>0</v>
      </c>
      <c r="AI50" s="4"/>
      <c r="AJ50" s="4"/>
      <c r="AK50" s="5">
        <f t="shared" si="26"/>
        <v>0</v>
      </c>
      <c r="AL50" s="5">
        <f t="shared" si="27"/>
        <v>0</v>
      </c>
      <c r="AM50" s="12">
        <f t="shared" si="28"/>
        <v>0</v>
      </c>
      <c r="AN50" s="5"/>
    </row>
    <row r="51" spans="1:40" x14ac:dyDescent="0.45">
      <c r="A51" s="3" t="s">
        <v>58</v>
      </c>
      <c r="B51" s="5">
        <f>150</f>
        <v>150</v>
      </c>
      <c r="C51" s="4"/>
      <c r="D51" s="5">
        <f t="shared" si="15"/>
        <v>-150</v>
      </c>
      <c r="E51" s="4"/>
      <c r="F51" s="4"/>
      <c r="G51" s="5">
        <f t="shared" si="16"/>
        <v>0</v>
      </c>
      <c r="H51" s="4"/>
      <c r="I51" s="4"/>
      <c r="J51" s="5">
        <f t="shared" si="17"/>
        <v>0</v>
      </c>
      <c r="K51" s="4"/>
      <c r="L51" s="4"/>
      <c r="M51" s="5">
        <f t="shared" si="18"/>
        <v>0</v>
      </c>
      <c r="N51" s="4"/>
      <c r="O51" s="4"/>
      <c r="P51" s="5">
        <f t="shared" si="19"/>
        <v>0</v>
      </c>
      <c r="Q51" s="5">
        <f>200</f>
        <v>200</v>
      </c>
      <c r="R51" s="4"/>
      <c r="S51" s="5">
        <f t="shared" si="20"/>
        <v>-200</v>
      </c>
      <c r="T51" s="5">
        <f>150</f>
        <v>150</v>
      </c>
      <c r="U51" s="4"/>
      <c r="V51" s="5">
        <f t="shared" si="21"/>
        <v>-150</v>
      </c>
      <c r="W51" s="5">
        <f>150</f>
        <v>150</v>
      </c>
      <c r="X51" s="4"/>
      <c r="Y51" s="5">
        <f t="shared" si="22"/>
        <v>-150</v>
      </c>
      <c r="Z51" s="4"/>
      <c r="AA51" s="4"/>
      <c r="AB51" s="5">
        <f t="shared" si="23"/>
        <v>0</v>
      </c>
      <c r="AC51" s="4"/>
      <c r="AD51" s="4"/>
      <c r="AE51" s="5">
        <f t="shared" si="24"/>
        <v>0</v>
      </c>
      <c r="AF51" s="4"/>
      <c r="AG51" s="4"/>
      <c r="AH51" s="5">
        <f t="shared" si="25"/>
        <v>0</v>
      </c>
      <c r="AI51" s="4"/>
      <c r="AJ51" s="4"/>
      <c r="AK51" s="5">
        <f t="shared" si="26"/>
        <v>0</v>
      </c>
      <c r="AL51" s="5">
        <f t="shared" si="27"/>
        <v>650</v>
      </c>
      <c r="AM51" s="12">
        <f t="shared" si="28"/>
        <v>0</v>
      </c>
      <c r="AN51" s="5"/>
    </row>
    <row r="52" spans="1:40" x14ac:dyDescent="0.45">
      <c r="A52" s="3" t="s">
        <v>59</v>
      </c>
      <c r="B52" s="5">
        <f>953</f>
        <v>953</v>
      </c>
      <c r="C52" s="4"/>
      <c r="D52" s="5">
        <f t="shared" si="15"/>
        <v>-953</v>
      </c>
      <c r="E52" s="5">
        <f>2199</f>
        <v>2199</v>
      </c>
      <c r="F52" s="4"/>
      <c r="G52" s="5">
        <f t="shared" si="16"/>
        <v>-2199</v>
      </c>
      <c r="H52" s="5">
        <f>2881</f>
        <v>2881</v>
      </c>
      <c r="I52" s="4"/>
      <c r="J52" s="5">
        <f t="shared" si="17"/>
        <v>-2881</v>
      </c>
      <c r="K52" s="5">
        <f>1256</f>
        <v>1256</v>
      </c>
      <c r="L52" s="4"/>
      <c r="M52" s="5">
        <f t="shared" si="18"/>
        <v>-1256</v>
      </c>
      <c r="N52" s="5">
        <f>1105</f>
        <v>1105</v>
      </c>
      <c r="O52" s="4"/>
      <c r="P52" s="5">
        <f t="shared" si="19"/>
        <v>-1105</v>
      </c>
      <c r="Q52" s="5">
        <f>3738</f>
        <v>3738</v>
      </c>
      <c r="R52" s="4"/>
      <c r="S52" s="5">
        <f t="shared" si="20"/>
        <v>-3738</v>
      </c>
      <c r="T52" s="5">
        <f>2401</f>
        <v>2401</v>
      </c>
      <c r="U52" s="4"/>
      <c r="V52" s="5">
        <f t="shared" si="21"/>
        <v>-2401</v>
      </c>
      <c r="W52" s="5">
        <f>425</f>
        <v>425</v>
      </c>
      <c r="X52" s="4"/>
      <c r="Y52" s="5">
        <f t="shared" si="22"/>
        <v>-425</v>
      </c>
      <c r="Z52" s="4"/>
      <c r="AA52" s="4"/>
      <c r="AB52" s="5">
        <f t="shared" si="23"/>
        <v>0</v>
      </c>
      <c r="AC52" s="4"/>
      <c r="AD52" s="4"/>
      <c r="AE52" s="5">
        <f t="shared" si="24"/>
        <v>0</v>
      </c>
      <c r="AF52" s="4"/>
      <c r="AG52" s="4"/>
      <c r="AH52" s="5">
        <f t="shared" si="25"/>
        <v>0</v>
      </c>
      <c r="AI52" s="4"/>
      <c r="AJ52" s="4"/>
      <c r="AK52" s="5">
        <f t="shared" si="26"/>
        <v>0</v>
      </c>
      <c r="AL52" s="5">
        <f t="shared" si="27"/>
        <v>14958</v>
      </c>
      <c r="AM52" s="12">
        <f t="shared" si="28"/>
        <v>0</v>
      </c>
      <c r="AN52" s="5">
        <v>21000</v>
      </c>
    </row>
    <row r="53" spans="1:40" x14ac:dyDescent="0.45">
      <c r="A53" s="3" t="s">
        <v>60</v>
      </c>
      <c r="B53" s="4"/>
      <c r="C53" s="4"/>
      <c r="D53" s="5">
        <f t="shared" si="15"/>
        <v>0</v>
      </c>
      <c r="E53" s="4"/>
      <c r="F53" s="4"/>
      <c r="G53" s="5">
        <f t="shared" si="16"/>
        <v>0</v>
      </c>
      <c r="H53" s="4"/>
      <c r="I53" s="4"/>
      <c r="J53" s="5">
        <f t="shared" si="17"/>
        <v>0</v>
      </c>
      <c r="K53" s="4"/>
      <c r="L53" s="4"/>
      <c r="M53" s="5">
        <f t="shared" si="18"/>
        <v>0</v>
      </c>
      <c r="N53" s="4"/>
      <c r="O53" s="4"/>
      <c r="P53" s="5">
        <f t="shared" si="19"/>
        <v>0</v>
      </c>
      <c r="Q53" s="4"/>
      <c r="R53" s="4"/>
      <c r="S53" s="5">
        <f t="shared" si="20"/>
        <v>0</v>
      </c>
      <c r="T53" s="4"/>
      <c r="U53" s="4"/>
      <c r="V53" s="5">
        <f t="shared" si="21"/>
        <v>0</v>
      </c>
      <c r="W53" s="4"/>
      <c r="X53" s="4"/>
      <c r="Y53" s="5">
        <f t="shared" si="22"/>
        <v>0</v>
      </c>
      <c r="Z53" s="4"/>
      <c r="AA53" s="4"/>
      <c r="AB53" s="5">
        <f t="shared" si="23"/>
        <v>0</v>
      </c>
      <c r="AC53" s="4"/>
      <c r="AD53" s="4"/>
      <c r="AE53" s="5">
        <f t="shared" si="24"/>
        <v>0</v>
      </c>
      <c r="AF53" s="4"/>
      <c r="AG53" s="4"/>
      <c r="AH53" s="5">
        <f t="shared" si="25"/>
        <v>0</v>
      </c>
      <c r="AI53" s="4"/>
      <c r="AJ53" s="4"/>
      <c r="AK53" s="5">
        <f t="shared" si="26"/>
        <v>0</v>
      </c>
      <c r="AL53" s="5">
        <f t="shared" si="27"/>
        <v>0</v>
      </c>
      <c r="AM53" s="12">
        <f t="shared" si="28"/>
        <v>0</v>
      </c>
      <c r="AN53" s="5"/>
    </row>
    <row r="54" spans="1:40" x14ac:dyDescent="0.45">
      <c r="A54" s="3" t="s">
        <v>61</v>
      </c>
      <c r="B54" s="6">
        <f>(((B50)+(B51))+(B52))+(B53)</f>
        <v>1103</v>
      </c>
      <c r="C54" s="6">
        <f>(((C50)+(C51))+(C52))+(C53)</f>
        <v>0</v>
      </c>
      <c r="D54" s="6">
        <f t="shared" si="15"/>
        <v>-1103</v>
      </c>
      <c r="E54" s="6">
        <f>(((E50)+(E51))+(E52))+(E53)</f>
        <v>2199</v>
      </c>
      <c r="F54" s="6">
        <f>(((F50)+(F51))+(F52))+(F53)</f>
        <v>0</v>
      </c>
      <c r="G54" s="6">
        <f t="shared" si="16"/>
        <v>-2199</v>
      </c>
      <c r="H54" s="6">
        <f>(((H50)+(H51))+(H52))+(H53)</f>
        <v>2881</v>
      </c>
      <c r="I54" s="6">
        <f>(((I50)+(I51))+(I52))+(I53)</f>
        <v>0</v>
      </c>
      <c r="J54" s="6">
        <f t="shared" si="17"/>
        <v>-2881</v>
      </c>
      <c r="K54" s="6">
        <f>(((K50)+(K51))+(K52))+(K53)</f>
        <v>1256</v>
      </c>
      <c r="L54" s="6">
        <f>(((L50)+(L51))+(L52))+(L53)</f>
        <v>0</v>
      </c>
      <c r="M54" s="6">
        <f t="shared" si="18"/>
        <v>-1256</v>
      </c>
      <c r="N54" s="6">
        <f>(((N50)+(N51))+(N52))+(N53)</f>
        <v>1105</v>
      </c>
      <c r="O54" s="6">
        <f>(((O50)+(O51))+(O52))+(O53)</f>
        <v>0</v>
      </c>
      <c r="P54" s="6">
        <f t="shared" si="19"/>
        <v>-1105</v>
      </c>
      <c r="Q54" s="6">
        <f>(((Q50)+(Q51))+(Q52))+(Q53)</f>
        <v>3938</v>
      </c>
      <c r="R54" s="6">
        <f>(((R50)+(R51))+(R52))+(R53)</f>
        <v>0</v>
      </c>
      <c r="S54" s="6">
        <f t="shared" si="20"/>
        <v>-3938</v>
      </c>
      <c r="T54" s="6">
        <f>(((T50)+(T51))+(T52))+(T53)</f>
        <v>2551</v>
      </c>
      <c r="U54" s="6">
        <f>(((U50)+(U51))+(U52))+(U53)</f>
        <v>0</v>
      </c>
      <c r="V54" s="6">
        <f t="shared" si="21"/>
        <v>-2551</v>
      </c>
      <c r="W54" s="6">
        <f>(((W50)+(W51))+(W52))+(W53)</f>
        <v>575</v>
      </c>
      <c r="X54" s="6">
        <f>(((X50)+(X51))+(X52))+(X53)</f>
        <v>0</v>
      </c>
      <c r="Y54" s="6">
        <f t="shared" si="22"/>
        <v>-575</v>
      </c>
      <c r="Z54" s="6">
        <f>(((Z50)+(Z51))+(Z52))+(Z53)</f>
        <v>0</v>
      </c>
      <c r="AA54" s="6">
        <f>(((AA50)+(AA51))+(AA52))+(AA53)</f>
        <v>0</v>
      </c>
      <c r="AB54" s="6">
        <f t="shared" si="23"/>
        <v>0</v>
      </c>
      <c r="AC54" s="6">
        <f>(((AC50)+(AC51))+(AC52))+(AC53)</f>
        <v>0</v>
      </c>
      <c r="AD54" s="6">
        <f>(((AD50)+(AD51))+(AD52))+(AD53)</f>
        <v>0</v>
      </c>
      <c r="AE54" s="6">
        <f t="shared" si="24"/>
        <v>0</v>
      </c>
      <c r="AF54" s="6">
        <f>(((AF50)+(AF51))+(AF52))+(AF53)</f>
        <v>0</v>
      </c>
      <c r="AG54" s="6">
        <f>(((AG50)+(AG51))+(AG52))+(AG53)</f>
        <v>0</v>
      </c>
      <c r="AH54" s="6">
        <f t="shared" si="25"/>
        <v>0</v>
      </c>
      <c r="AI54" s="6">
        <f>(((AI50)+(AI51))+(AI52))+(AI53)</f>
        <v>0</v>
      </c>
      <c r="AJ54" s="6">
        <f>(((AJ50)+(AJ51))+(AJ52))+(AJ53)</f>
        <v>0</v>
      </c>
      <c r="AK54" s="6">
        <f t="shared" si="26"/>
        <v>0</v>
      </c>
      <c r="AL54" s="6">
        <f t="shared" si="27"/>
        <v>15608</v>
      </c>
      <c r="AM54" s="13">
        <f t="shared" si="28"/>
        <v>0</v>
      </c>
      <c r="AN54" s="6">
        <v>31000</v>
      </c>
    </row>
    <row r="55" spans="1:40" x14ac:dyDescent="0.45">
      <c r="A55" s="3" t="s">
        <v>62</v>
      </c>
      <c r="B55" s="4"/>
      <c r="C55" s="4"/>
      <c r="D55" s="5">
        <f t="shared" si="15"/>
        <v>0</v>
      </c>
      <c r="E55" s="4"/>
      <c r="F55" s="4"/>
      <c r="G55" s="5">
        <f t="shared" si="16"/>
        <v>0</v>
      </c>
      <c r="H55" s="4"/>
      <c r="I55" s="4"/>
      <c r="J55" s="5">
        <f t="shared" si="17"/>
        <v>0</v>
      </c>
      <c r="K55" s="4"/>
      <c r="L55" s="4"/>
      <c r="M55" s="5">
        <f t="shared" si="18"/>
        <v>0</v>
      </c>
      <c r="N55" s="4"/>
      <c r="O55" s="4"/>
      <c r="P55" s="5">
        <f t="shared" si="19"/>
        <v>0</v>
      </c>
      <c r="Q55" s="4"/>
      <c r="R55" s="4"/>
      <c r="S55" s="5">
        <f t="shared" si="20"/>
        <v>0</v>
      </c>
      <c r="T55" s="4"/>
      <c r="U55" s="4"/>
      <c r="V55" s="5">
        <f t="shared" si="21"/>
        <v>0</v>
      </c>
      <c r="W55" s="4"/>
      <c r="X55" s="4"/>
      <c r="Y55" s="5">
        <f t="shared" si="22"/>
        <v>0</v>
      </c>
      <c r="Z55" s="4"/>
      <c r="AA55" s="4"/>
      <c r="AB55" s="5">
        <f t="shared" si="23"/>
        <v>0</v>
      </c>
      <c r="AC55" s="4"/>
      <c r="AD55" s="4"/>
      <c r="AE55" s="5">
        <f t="shared" si="24"/>
        <v>0</v>
      </c>
      <c r="AF55" s="4"/>
      <c r="AG55" s="4"/>
      <c r="AH55" s="5">
        <f t="shared" si="25"/>
        <v>0</v>
      </c>
      <c r="AI55" s="4"/>
      <c r="AJ55" s="4"/>
      <c r="AK55" s="5">
        <f t="shared" si="26"/>
        <v>0</v>
      </c>
      <c r="AL55" s="5">
        <f t="shared" si="27"/>
        <v>0</v>
      </c>
      <c r="AM55" s="12">
        <f t="shared" si="28"/>
        <v>0</v>
      </c>
      <c r="AN55" s="5"/>
    </row>
    <row r="56" spans="1:40" x14ac:dyDescent="0.45">
      <c r="A56" s="3" t="s">
        <v>63</v>
      </c>
      <c r="B56" s="4"/>
      <c r="C56" s="4"/>
      <c r="D56" s="5">
        <f t="shared" si="15"/>
        <v>0</v>
      </c>
      <c r="E56" s="5">
        <f>20</f>
        <v>20</v>
      </c>
      <c r="F56" s="4"/>
      <c r="G56" s="5">
        <f t="shared" si="16"/>
        <v>-20</v>
      </c>
      <c r="H56" s="5">
        <f>40</f>
        <v>40</v>
      </c>
      <c r="I56" s="4"/>
      <c r="J56" s="5">
        <f t="shared" si="17"/>
        <v>-40</v>
      </c>
      <c r="K56" s="5">
        <f>40</f>
        <v>40</v>
      </c>
      <c r="L56" s="4"/>
      <c r="M56" s="5">
        <f t="shared" si="18"/>
        <v>-40</v>
      </c>
      <c r="N56" s="4"/>
      <c r="O56" s="4"/>
      <c r="P56" s="5">
        <f t="shared" si="19"/>
        <v>0</v>
      </c>
      <c r="Q56" s="5">
        <f>20</f>
        <v>20</v>
      </c>
      <c r="R56" s="4"/>
      <c r="S56" s="5">
        <f t="shared" si="20"/>
        <v>-20</v>
      </c>
      <c r="T56" s="5">
        <f>60</f>
        <v>60</v>
      </c>
      <c r="U56" s="4"/>
      <c r="V56" s="5">
        <f t="shared" si="21"/>
        <v>-60</v>
      </c>
      <c r="W56" s="5">
        <f>100</f>
        <v>100</v>
      </c>
      <c r="X56" s="4"/>
      <c r="Y56" s="5">
        <f t="shared" si="22"/>
        <v>-100</v>
      </c>
      <c r="Z56" s="4"/>
      <c r="AA56" s="4"/>
      <c r="AB56" s="5">
        <f t="shared" si="23"/>
        <v>0</v>
      </c>
      <c r="AC56" s="4"/>
      <c r="AD56" s="4"/>
      <c r="AE56" s="5">
        <f t="shared" si="24"/>
        <v>0</v>
      </c>
      <c r="AF56" s="4"/>
      <c r="AG56" s="4"/>
      <c r="AH56" s="5">
        <f t="shared" si="25"/>
        <v>0</v>
      </c>
      <c r="AI56" s="4"/>
      <c r="AJ56" s="4"/>
      <c r="AK56" s="5">
        <f t="shared" si="26"/>
        <v>0</v>
      </c>
      <c r="AL56" s="5">
        <f t="shared" si="27"/>
        <v>280</v>
      </c>
      <c r="AM56" s="12">
        <f t="shared" si="28"/>
        <v>0</v>
      </c>
      <c r="AN56" s="5">
        <v>2000</v>
      </c>
    </row>
    <row r="57" spans="1:40" x14ac:dyDescent="0.45">
      <c r="A57" s="3" t="s">
        <v>64</v>
      </c>
      <c r="B57" s="6">
        <f>(B55)+(B56)</f>
        <v>0</v>
      </c>
      <c r="C57" s="6">
        <f>(C55)+(C56)</f>
        <v>0</v>
      </c>
      <c r="D57" s="6">
        <f t="shared" si="15"/>
        <v>0</v>
      </c>
      <c r="E57" s="6">
        <f>(E55)+(E56)</f>
        <v>20</v>
      </c>
      <c r="F57" s="6">
        <f>(F55)+(F56)</f>
        <v>0</v>
      </c>
      <c r="G57" s="6">
        <f t="shared" si="16"/>
        <v>-20</v>
      </c>
      <c r="H57" s="6">
        <f>(H55)+(H56)</f>
        <v>40</v>
      </c>
      <c r="I57" s="6">
        <f>(I55)+(I56)</f>
        <v>0</v>
      </c>
      <c r="J57" s="6">
        <f t="shared" si="17"/>
        <v>-40</v>
      </c>
      <c r="K57" s="6">
        <f>(K55)+(K56)</f>
        <v>40</v>
      </c>
      <c r="L57" s="6">
        <f>(L55)+(L56)</f>
        <v>0</v>
      </c>
      <c r="M57" s="6">
        <f t="shared" si="18"/>
        <v>-40</v>
      </c>
      <c r="N57" s="6">
        <f>(N55)+(N56)</f>
        <v>0</v>
      </c>
      <c r="O57" s="6">
        <f>(O55)+(O56)</f>
        <v>0</v>
      </c>
      <c r="P57" s="6">
        <f t="shared" si="19"/>
        <v>0</v>
      </c>
      <c r="Q57" s="6">
        <f>(Q55)+(Q56)</f>
        <v>20</v>
      </c>
      <c r="R57" s="6">
        <f>(R55)+(R56)</f>
        <v>0</v>
      </c>
      <c r="S57" s="6">
        <f t="shared" si="20"/>
        <v>-20</v>
      </c>
      <c r="T57" s="6">
        <f>(T55)+(T56)</f>
        <v>60</v>
      </c>
      <c r="U57" s="6">
        <f>(U55)+(U56)</f>
        <v>0</v>
      </c>
      <c r="V57" s="6">
        <f t="shared" si="21"/>
        <v>-60</v>
      </c>
      <c r="W57" s="6">
        <f>(W55)+(W56)</f>
        <v>100</v>
      </c>
      <c r="X57" s="6">
        <f>(X55)+(X56)</f>
        <v>0</v>
      </c>
      <c r="Y57" s="6">
        <f t="shared" si="22"/>
        <v>-100</v>
      </c>
      <c r="Z57" s="6">
        <f>(Z55)+(Z56)</f>
        <v>0</v>
      </c>
      <c r="AA57" s="6">
        <f>(AA55)+(AA56)</f>
        <v>0</v>
      </c>
      <c r="AB57" s="6">
        <f t="shared" si="23"/>
        <v>0</v>
      </c>
      <c r="AC57" s="6">
        <f>(AC55)+(AC56)</f>
        <v>0</v>
      </c>
      <c r="AD57" s="6">
        <f>(AD55)+(AD56)</f>
        <v>0</v>
      </c>
      <c r="AE57" s="6">
        <f t="shared" si="24"/>
        <v>0</v>
      </c>
      <c r="AF57" s="6">
        <f>(AF55)+(AF56)</f>
        <v>0</v>
      </c>
      <c r="AG57" s="6">
        <f>(AG55)+(AG56)</f>
        <v>0</v>
      </c>
      <c r="AH57" s="6">
        <f t="shared" si="25"/>
        <v>0</v>
      </c>
      <c r="AI57" s="6">
        <f>(AI55)+(AI56)</f>
        <v>0</v>
      </c>
      <c r="AJ57" s="6">
        <f>(AJ55)+(AJ56)</f>
        <v>0</v>
      </c>
      <c r="AK57" s="6">
        <f t="shared" si="26"/>
        <v>0</v>
      </c>
      <c r="AL57" s="6">
        <f t="shared" si="27"/>
        <v>280</v>
      </c>
      <c r="AM57" s="13">
        <f t="shared" si="28"/>
        <v>0</v>
      </c>
      <c r="AN57" s="6">
        <v>2000</v>
      </c>
    </row>
    <row r="58" spans="1:40" x14ac:dyDescent="0.45">
      <c r="A58" s="3" t="s">
        <v>65</v>
      </c>
      <c r="B58" s="6" t="e">
        <f>((((((((((((((B8)+(B19))+(B25))+(B26))+(B27))+(B28))+(B29))+(B32))+(B39))+(B46))+(B47))+(B48))+(B49))+(B54))+(B57)</f>
        <v>#REF!</v>
      </c>
      <c r="C58" s="6" t="e">
        <f>((((((((((((((C8)+(C19))+(C25))+(C26))+(C27))+(C28))+(C29))+(C32))+(C39))+(C46))+(C47))+(C48))+(C49))+(C54))+(C57)</f>
        <v>#REF!</v>
      </c>
      <c r="D58" s="6" t="e">
        <f t="shared" si="15"/>
        <v>#REF!</v>
      </c>
      <c r="E58" s="6" t="e">
        <f>((((((((((((((E8)+(E19))+(E25))+(E26))+(E27))+(E28))+(E29))+(E32))+(E39))+(E46))+(E47))+(E48))+(E49))+(E54))+(E57)</f>
        <v>#REF!</v>
      </c>
      <c r="F58" s="6" t="e">
        <f>((((((((((((((F8)+(F19))+(F25))+(F26))+(F27))+(F28))+(F29))+(F32))+(F39))+(F46))+(F47))+(F48))+(F49))+(F54))+(F57)</f>
        <v>#REF!</v>
      </c>
      <c r="G58" s="6" t="e">
        <f t="shared" si="16"/>
        <v>#REF!</v>
      </c>
      <c r="H58" s="6" t="e">
        <f>((((((((((((((H8)+(H19))+(H25))+(H26))+(H27))+(H28))+(H29))+(H32))+(H39))+(H46))+(H47))+(H48))+(H49))+(H54))+(H57)</f>
        <v>#REF!</v>
      </c>
      <c r="I58" s="6" t="e">
        <f>((((((((((((((I8)+(I19))+(I25))+(I26))+(I27))+(I28))+(I29))+(I32))+(I39))+(I46))+(I47))+(I48))+(I49))+(I54))+(I57)</f>
        <v>#REF!</v>
      </c>
      <c r="J58" s="6" t="e">
        <f t="shared" si="17"/>
        <v>#REF!</v>
      </c>
      <c r="K58" s="6" t="e">
        <f>((((((((((((((K8)+(K19))+(K25))+(K26))+(K27))+(K28))+(K29))+(K32))+(K39))+(K46))+(K47))+(K48))+(K49))+(K54))+(K57)</f>
        <v>#REF!</v>
      </c>
      <c r="L58" s="6" t="e">
        <f>((((((((((((((L8)+(L19))+(L25))+(L26))+(L27))+(L28))+(L29))+(L32))+(L39))+(L46))+(L47))+(L48))+(L49))+(L54))+(L57)</f>
        <v>#REF!</v>
      </c>
      <c r="M58" s="6" t="e">
        <f t="shared" si="18"/>
        <v>#REF!</v>
      </c>
      <c r="N58" s="6" t="e">
        <f>((((((((((((((N8)+(N19))+(N25))+(N26))+(N27))+(N28))+(N29))+(N32))+(N39))+(N46))+(N47))+(N48))+(N49))+(N54))+(N57)</f>
        <v>#REF!</v>
      </c>
      <c r="O58" s="6" t="e">
        <f>((((((((((((((O8)+(O19))+(O25))+(O26))+(O27))+(O28))+(O29))+(O32))+(O39))+(O46))+(O47))+(O48))+(O49))+(O54))+(O57)</f>
        <v>#REF!</v>
      </c>
      <c r="P58" s="6" t="e">
        <f t="shared" si="19"/>
        <v>#REF!</v>
      </c>
      <c r="Q58" s="6" t="e">
        <f>((((((((((((((Q8)+(Q19))+(Q25))+(Q26))+(Q27))+(Q28))+(Q29))+(Q32))+(Q39))+(Q46))+(Q47))+(Q48))+(Q49))+(Q54))+(Q57)</f>
        <v>#REF!</v>
      </c>
      <c r="R58" s="6" t="e">
        <f>((((((((((((((R8)+(R19))+(R25))+(R26))+(R27))+(R28))+(R29))+(R32))+(R39))+(R46))+(R47))+(R48))+(R49))+(R54))+(R57)</f>
        <v>#REF!</v>
      </c>
      <c r="S58" s="6" t="e">
        <f t="shared" si="20"/>
        <v>#REF!</v>
      </c>
      <c r="T58" s="6" t="e">
        <f>((((((((((((((T8)+(T19))+(T25))+(T26))+(T27))+(T28))+(T29))+(T32))+(T39))+(T46))+(T47))+(T48))+(T49))+(T54))+(T57)</f>
        <v>#REF!</v>
      </c>
      <c r="U58" s="6" t="e">
        <f>((((((((((((((U8)+(U19))+(U25))+(U26))+(U27))+(U28))+(U29))+(U32))+(U39))+(U46))+(U47))+(U48))+(U49))+(U54))+(U57)</f>
        <v>#REF!</v>
      </c>
      <c r="V58" s="6" t="e">
        <f t="shared" si="21"/>
        <v>#REF!</v>
      </c>
      <c r="W58" s="6" t="e">
        <f>((((((((((((((W8)+(W19))+(W25))+(W26))+(W27))+(W28))+(W29))+(W32))+(W39))+(W46))+(W47))+(W48))+(W49))+(W54))+(W57)</f>
        <v>#REF!</v>
      </c>
      <c r="X58" s="6" t="e">
        <f>((((((((((((((X8)+(X19))+(X25))+(X26))+(X27))+(X28))+(X29))+(X32))+(X39))+(X46))+(X47))+(X48))+(X49))+(X54))+(X57)</f>
        <v>#REF!</v>
      </c>
      <c r="Y58" s="6" t="e">
        <f t="shared" si="22"/>
        <v>#REF!</v>
      </c>
      <c r="Z58" s="6" t="e">
        <f>((((((((((((((Z8)+(Z19))+(Z25))+(Z26))+(Z27))+(Z28))+(Z29))+(Z32))+(Z39))+(Z46))+(Z47))+(Z48))+(Z49))+(Z54))+(Z57)</f>
        <v>#REF!</v>
      </c>
      <c r="AA58" s="6" t="e">
        <f>((((((((((((((AA8)+(AA19))+(AA25))+(AA26))+(AA27))+(AA28))+(AA29))+(AA32))+(AA39))+(AA46))+(AA47))+(AA48))+(AA49))+(AA54))+(AA57)</f>
        <v>#REF!</v>
      </c>
      <c r="AB58" s="6" t="e">
        <f t="shared" si="23"/>
        <v>#REF!</v>
      </c>
      <c r="AC58" s="6" t="e">
        <f>((((((((((((((AC8)+(AC19))+(AC25))+(AC26))+(AC27))+(AC28))+(AC29))+(AC32))+(AC39))+(AC46))+(AC47))+(AC48))+(AC49))+(AC54))+(AC57)</f>
        <v>#REF!</v>
      </c>
      <c r="AD58" s="6" t="e">
        <f>((((((((((((((AD8)+(AD19))+(AD25))+(AD26))+(AD27))+(AD28))+(AD29))+(AD32))+(AD39))+(AD46))+(AD47))+(AD48))+(AD49))+(AD54))+(AD57)</f>
        <v>#REF!</v>
      </c>
      <c r="AE58" s="6" t="e">
        <f t="shared" si="24"/>
        <v>#REF!</v>
      </c>
      <c r="AF58" s="6" t="e">
        <f>((((((((((((((AF8)+(AF19))+(AF25))+(AF26))+(AF27))+(AF28))+(AF29))+(AF32))+(AF39))+(AF46))+(AF47))+(AF48))+(AF49))+(AF54))+(AF57)</f>
        <v>#REF!</v>
      </c>
      <c r="AG58" s="6" t="e">
        <f>((((((((((((((AG8)+(AG19))+(AG25))+(AG26))+(AG27))+(AG28))+(AG29))+(AG32))+(AG39))+(AG46))+(AG47))+(AG48))+(AG49))+(AG54))+(AG57)</f>
        <v>#REF!</v>
      </c>
      <c r="AH58" s="6" t="e">
        <f t="shared" si="25"/>
        <v>#REF!</v>
      </c>
      <c r="AI58" s="6" t="e">
        <f>((((((((((((((AI8)+(AI19))+(AI25))+(AI26))+(AI27))+(AI28))+(AI29))+(AI32))+(AI39))+(AI46))+(AI47))+(AI48))+(AI49))+(AI54))+(AI57)</f>
        <v>#REF!</v>
      </c>
      <c r="AJ58" s="6" t="e">
        <f>((((((((((((((AJ8)+(AJ19))+(AJ25))+(AJ26))+(AJ27))+(AJ28))+(AJ29))+(AJ32))+(AJ39))+(AJ46))+(AJ47))+(AJ48))+(AJ49))+(AJ54))+(AJ57)</f>
        <v>#REF!</v>
      </c>
      <c r="AK58" s="6" t="e">
        <f t="shared" si="26"/>
        <v>#REF!</v>
      </c>
      <c r="AL58" s="6" t="e">
        <f t="shared" si="27"/>
        <v>#REF!</v>
      </c>
      <c r="AM58" s="13"/>
      <c r="AN58" s="6">
        <v>375090</v>
      </c>
    </row>
    <row r="59" spans="1:40" x14ac:dyDescent="0.45">
      <c r="A59" s="3" t="s">
        <v>66</v>
      </c>
      <c r="B59" s="6" t="e">
        <f>(((((((((((((((((((((((B58)+(#REF!))+(#REF!))+(#REF!))+(#REF!))+(#REF!))+(#REF!))+(#REF!))+(#REF!))+(#REF!))+(#REF!))+(#REF!))+(#REF!))+(#REF!))+(#REF!))+(#REF!))+(#REF!))+(#REF!))+(#REF!))+(#REF!))+(#REF!))+(#REF!))+(#REF!))+(#REF!)</f>
        <v>#REF!</v>
      </c>
      <c r="C59" s="6" t="e">
        <f>(((((((((((((((((((((((C58)+(#REF!))+(#REF!))+(#REF!))+(#REF!))+(#REF!))+(#REF!))+(#REF!))+(#REF!))+(#REF!))+(#REF!))+(#REF!))+(#REF!))+(#REF!))+(#REF!))+(#REF!))+(#REF!))+(#REF!))+(#REF!))+(#REF!))+(#REF!))+(#REF!))+(#REF!))+(#REF!)</f>
        <v>#REF!</v>
      </c>
      <c r="D59" s="6" t="e">
        <f t="shared" ref="D59" si="30">(C59)-(B59)</f>
        <v>#REF!</v>
      </c>
      <c r="E59" s="6" t="e">
        <f>(((((((((((((((((((((((E58)+(#REF!))+(#REF!))+(#REF!))+(#REF!))+(#REF!))+(#REF!))+(#REF!))+(#REF!))+(#REF!))+(#REF!))+(#REF!))+(#REF!))+(#REF!))+(#REF!))+(#REF!))+(#REF!))+(#REF!))+(#REF!))+(#REF!))+(#REF!))+(#REF!))+(#REF!))+(#REF!)</f>
        <v>#REF!</v>
      </c>
      <c r="F59" s="6" t="e">
        <f>(((((((((((((((((((((((F58)+(#REF!))+(#REF!))+(#REF!))+(#REF!))+(#REF!))+(#REF!))+(#REF!))+(#REF!))+(#REF!))+(#REF!))+(#REF!))+(#REF!))+(#REF!))+(#REF!))+(#REF!))+(#REF!))+(#REF!))+(#REF!))+(#REF!))+(#REF!))+(#REF!))+(#REF!))+(#REF!)</f>
        <v>#REF!</v>
      </c>
      <c r="G59" s="6" t="e">
        <f t="shared" ref="G59" si="31">(F59)-(E59)</f>
        <v>#REF!</v>
      </c>
      <c r="H59" s="6" t="e">
        <f>(((((((((((((((((((((((H58)+(#REF!))+(#REF!))+(#REF!))+(#REF!))+(#REF!))+(#REF!))+(#REF!))+(#REF!))+(#REF!))+(#REF!))+(#REF!))+(#REF!))+(#REF!))+(#REF!))+(#REF!))+(#REF!))+(#REF!))+(#REF!))+(#REF!))+(#REF!))+(#REF!))+(#REF!))+(#REF!)</f>
        <v>#REF!</v>
      </c>
      <c r="I59" s="6" t="e">
        <f>(((((((((((((((((((((((I58)+(#REF!))+(#REF!))+(#REF!))+(#REF!))+(#REF!))+(#REF!))+(#REF!))+(#REF!))+(#REF!))+(#REF!))+(#REF!))+(#REF!))+(#REF!))+(#REF!))+(#REF!))+(#REF!))+(#REF!))+(#REF!))+(#REF!))+(#REF!))+(#REF!))+(#REF!))+(#REF!)</f>
        <v>#REF!</v>
      </c>
      <c r="J59" s="6" t="e">
        <f t="shared" ref="J59" si="32">(I59)-(H59)</f>
        <v>#REF!</v>
      </c>
      <c r="K59" s="6" t="e">
        <f>(((((((((((((((((((((((K58)+(#REF!))+(#REF!))+(#REF!))+(#REF!))+(#REF!))+(#REF!))+(#REF!))+(#REF!))+(#REF!))+(#REF!))+(#REF!))+(#REF!))+(#REF!))+(#REF!))+(#REF!))+(#REF!))+(#REF!))+(#REF!))+(#REF!))+(#REF!))+(#REF!))+(#REF!))+(#REF!)</f>
        <v>#REF!</v>
      </c>
      <c r="L59" s="6" t="e">
        <f>(((((((((((((((((((((((L58)+(#REF!))+(#REF!))+(#REF!))+(#REF!))+(#REF!))+(#REF!))+(#REF!))+(#REF!))+(#REF!))+(#REF!))+(#REF!))+(#REF!))+(#REF!))+(#REF!))+(#REF!))+(#REF!))+(#REF!))+(#REF!))+(#REF!))+(#REF!))+(#REF!))+(#REF!))+(#REF!)</f>
        <v>#REF!</v>
      </c>
      <c r="M59" s="6" t="e">
        <f t="shared" ref="M59" si="33">(L59)-(K59)</f>
        <v>#REF!</v>
      </c>
      <c r="N59" s="6" t="e">
        <f>(((((((((((((((((((((((N58)+(#REF!))+(#REF!))+(#REF!))+(#REF!))+(#REF!))+(#REF!))+(#REF!))+(#REF!))+(#REF!))+(#REF!))+(#REF!))+(#REF!))+(#REF!))+(#REF!))+(#REF!))+(#REF!))+(#REF!))+(#REF!))+(#REF!))+(#REF!))+(#REF!))+(#REF!))+(#REF!)</f>
        <v>#REF!</v>
      </c>
      <c r="O59" s="6" t="e">
        <f>(((((((((((((((((((((((O58)+(#REF!))+(#REF!))+(#REF!))+(#REF!))+(#REF!))+(#REF!))+(#REF!))+(#REF!))+(#REF!))+(#REF!))+(#REF!))+(#REF!))+(#REF!))+(#REF!))+(#REF!))+(#REF!))+(#REF!))+(#REF!))+(#REF!))+(#REF!))+(#REF!))+(#REF!))+(#REF!)</f>
        <v>#REF!</v>
      </c>
      <c r="P59" s="6" t="e">
        <f t="shared" ref="P59" si="34">(O59)-(N59)</f>
        <v>#REF!</v>
      </c>
      <c r="Q59" s="6" t="e">
        <f>(((((((((((((((((((((((Q58)+(#REF!))+(#REF!))+(#REF!))+(#REF!))+(#REF!))+(#REF!))+(#REF!))+(#REF!))+(#REF!))+(#REF!))+(#REF!))+(#REF!))+(#REF!))+(#REF!))+(#REF!))+(#REF!))+(#REF!))+(#REF!))+(#REF!))+(#REF!))+(#REF!))+(#REF!))+(#REF!)</f>
        <v>#REF!</v>
      </c>
      <c r="R59" s="6" t="e">
        <f>(((((((((((((((((((((((R58)+(#REF!))+(#REF!))+(#REF!))+(#REF!))+(#REF!))+(#REF!))+(#REF!))+(#REF!))+(#REF!))+(#REF!))+(#REF!))+(#REF!))+(#REF!))+(#REF!))+(#REF!))+(#REF!))+(#REF!))+(#REF!))+(#REF!))+(#REF!))+(#REF!))+(#REF!))+(#REF!)</f>
        <v>#REF!</v>
      </c>
      <c r="S59" s="6" t="e">
        <f t="shared" ref="S59" si="35">(R59)-(Q59)</f>
        <v>#REF!</v>
      </c>
      <c r="T59" s="6" t="e">
        <f>(((((((((((((((((((((((T58)+(#REF!))+(#REF!))+(#REF!))+(#REF!))+(#REF!))+(#REF!))+(#REF!))+(#REF!))+(#REF!))+(#REF!))+(#REF!))+(#REF!))+(#REF!))+(#REF!))+(#REF!))+(#REF!))+(#REF!))+(#REF!))+(#REF!))+(#REF!))+(#REF!))+(#REF!))+(#REF!)</f>
        <v>#REF!</v>
      </c>
      <c r="U59" s="6" t="e">
        <f>(((((((((((((((((((((((U58)+(#REF!))+(#REF!))+(#REF!))+(#REF!))+(#REF!))+(#REF!))+(#REF!))+(#REF!))+(#REF!))+(#REF!))+(#REF!))+(#REF!))+(#REF!))+(#REF!))+(#REF!))+(#REF!))+(#REF!))+(#REF!))+(#REF!))+(#REF!))+(#REF!))+(#REF!))+(#REF!)</f>
        <v>#REF!</v>
      </c>
      <c r="V59" s="6" t="e">
        <f t="shared" ref="V59" si="36">(U59)-(T59)</f>
        <v>#REF!</v>
      </c>
      <c r="W59" s="6" t="e">
        <f>(((((((((((((((((((((((W58)+(#REF!))+(#REF!))+(#REF!))+(#REF!))+(#REF!))+(#REF!))+(#REF!))+(#REF!))+(#REF!))+(#REF!))+(#REF!))+(#REF!))+(#REF!))+(#REF!))+(#REF!))+(#REF!))+(#REF!))+(#REF!))+(#REF!))+(#REF!))+(#REF!))+(#REF!))+(#REF!)</f>
        <v>#REF!</v>
      </c>
      <c r="X59" s="6" t="e">
        <f>(((((((((((((((((((((((X58)+(#REF!))+(#REF!))+(#REF!))+(#REF!))+(#REF!))+(#REF!))+(#REF!))+(#REF!))+(#REF!))+(#REF!))+(#REF!))+(#REF!))+(#REF!))+(#REF!))+(#REF!))+(#REF!))+(#REF!))+(#REF!))+(#REF!))+(#REF!))+(#REF!))+(#REF!))+(#REF!)</f>
        <v>#REF!</v>
      </c>
      <c r="Y59" s="6" t="e">
        <f t="shared" ref="Y59" si="37">(X59)-(W59)</f>
        <v>#REF!</v>
      </c>
      <c r="Z59" s="6" t="e">
        <f>(((((((((((((((((((((((Z58)+(#REF!))+(#REF!))+(#REF!))+(#REF!))+(#REF!))+(#REF!))+(#REF!))+(#REF!))+(#REF!))+(#REF!))+(#REF!))+(#REF!))+(#REF!))+(#REF!))+(#REF!))+(#REF!))+(#REF!))+(#REF!))+(#REF!))+(#REF!))+(#REF!))+(#REF!))+(#REF!)</f>
        <v>#REF!</v>
      </c>
      <c r="AA59" s="6" t="e">
        <f>(((((((((((((((((((((((AA58)+(#REF!))+(#REF!))+(#REF!))+(#REF!))+(#REF!))+(#REF!))+(#REF!))+(#REF!))+(#REF!))+(#REF!))+(#REF!))+(#REF!))+(#REF!))+(#REF!))+(#REF!))+(#REF!))+(#REF!))+(#REF!))+(#REF!))+(#REF!))+(#REF!))+(#REF!))+(#REF!)</f>
        <v>#REF!</v>
      </c>
      <c r="AB59" s="6" t="e">
        <f t="shared" ref="AB59" si="38">(AA59)-(Z59)</f>
        <v>#REF!</v>
      </c>
      <c r="AC59" s="6" t="e">
        <f>(((((((((((((((((((((((AC58)+(#REF!))+(#REF!))+(#REF!))+(#REF!))+(#REF!))+(#REF!))+(#REF!))+(#REF!))+(#REF!))+(#REF!))+(#REF!))+(#REF!))+(#REF!))+(#REF!))+(#REF!))+(#REF!))+(#REF!))+(#REF!))+(#REF!))+(#REF!))+(#REF!))+(#REF!))+(#REF!)</f>
        <v>#REF!</v>
      </c>
      <c r="AD59" s="6" t="e">
        <f>(((((((((((((((((((((((AD58)+(#REF!))+(#REF!))+(#REF!))+(#REF!))+(#REF!))+(#REF!))+(#REF!))+(#REF!))+(#REF!))+(#REF!))+(#REF!))+(#REF!))+(#REF!))+(#REF!))+(#REF!))+(#REF!))+(#REF!))+(#REF!))+(#REF!))+(#REF!))+(#REF!))+(#REF!))+(#REF!)</f>
        <v>#REF!</v>
      </c>
      <c r="AE59" s="6" t="e">
        <f t="shared" ref="AE59" si="39">(AD59)-(AC59)</f>
        <v>#REF!</v>
      </c>
      <c r="AF59" s="6" t="e">
        <f>(((((((((((((((((((((((AF58)+(#REF!))+(#REF!))+(#REF!))+(#REF!))+(#REF!))+(#REF!))+(#REF!))+(#REF!))+(#REF!))+(#REF!))+(#REF!))+(#REF!))+(#REF!))+(#REF!))+(#REF!))+(#REF!))+(#REF!))+(#REF!))+(#REF!))+(#REF!))+(#REF!))+(#REF!))+(#REF!)</f>
        <v>#REF!</v>
      </c>
      <c r="AG59" s="6" t="e">
        <f>(((((((((((((((((((((((AG58)+(#REF!))+(#REF!))+(#REF!))+(#REF!))+(#REF!))+(#REF!))+(#REF!))+(#REF!))+(#REF!))+(#REF!))+(#REF!))+(#REF!))+(#REF!))+(#REF!))+(#REF!))+(#REF!))+(#REF!))+(#REF!))+(#REF!))+(#REF!))+(#REF!))+(#REF!))+(#REF!)</f>
        <v>#REF!</v>
      </c>
      <c r="AH59" s="6" t="e">
        <f t="shared" ref="AH59" si="40">(AG59)-(AF59)</f>
        <v>#REF!</v>
      </c>
      <c r="AI59" s="6" t="e">
        <f>(((((((((((((((((((((((AI58)+(#REF!))+(#REF!))+(#REF!))+(#REF!))+(#REF!))+(#REF!))+(#REF!))+(#REF!))+(#REF!))+(#REF!))+(#REF!))+(#REF!))+(#REF!))+(#REF!))+(#REF!))+(#REF!))+(#REF!))+(#REF!))+(#REF!))+(#REF!))+(#REF!))+(#REF!))+(#REF!)</f>
        <v>#REF!</v>
      </c>
      <c r="AJ59" s="6" t="e">
        <f>(((((((((((((((((((((((AJ58)+(#REF!))+(#REF!))+(#REF!))+(#REF!))+(#REF!))+(#REF!))+(#REF!))+(#REF!))+(#REF!))+(#REF!))+(#REF!))+(#REF!))+(#REF!))+(#REF!))+(#REF!))+(#REF!))+(#REF!))+(#REF!))+(#REF!))+(#REF!))+(#REF!))+(#REF!))+(#REF!)</f>
        <v>#REF!</v>
      </c>
      <c r="AK59" s="6" t="e">
        <f t="shared" ref="AK59" si="41">(AJ59)-(AI59)</f>
        <v>#REF!</v>
      </c>
      <c r="AL59" s="6" t="e">
        <f t="shared" ref="AL59" si="42">(((((((((((B59)+(E59))+(H59))+(K59))+(N59))+(Q59))+(T59))+(W59))+(Z59))+(AC59))+(AF59))+(AI59)</f>
        <v>#REF!</v>
      </c>
      <c r="AM59" s="13"/>
      <c r="AN59" s="6"/>
    </row>
    <row r="60" spans="1:40" x14ac:dyDescent="0.45">
      <c r="A60" s="3" t="s">
        <v>67</v>
      </c>
      <c r="B60" s="4"/>
      <c r="C60" s="4"/>
      <c r="D60" s="5">
        <f t="shared" ref="D60" si="43">(C60)-(B60)</f>
        <v>0</v>
      </c>
      <c r="E60" s="4"/>
      <c r="F60" s="4"/>
      <c r="G60" s="5">
        <f t="shared" ref="G60" si="44">(F60)-(E60)</f>
        <v>0</v>
      </c>
      <c r="H60" s="4"/>
      <c r="I60" s="4"/>
      <c r="J60" s="5">
        <f t="shared" ref="J60" si="45">(I60)-(H60)</f>
        <v>0</v>
      </c>
      <c r="K60" s="4"/>
      <c r="L60" s="4"/>
      <c r="M60" s="5">
        <f t="shared" ref="M60" si="46">(L60)-(K60)</f>
        <v>0</v>
      </c>
      <c r="N60" s="4"/>
      <c r="O60" s="4"/>
      <c r="P60" s="5">
        <f t="shared" ref="P60" si="47">(O60)-(N60)</f>
        <v>0</v>
      </c>
      <c r="Q60" s="4"/>
      <c r="R60" s="4"/>
      <c r="S60" s="5">
        <f t="shared" ref="S60" si="48">(R60)-(Q60)</f>
        <v>0</v>
      </c>
      <c r="T60" s="4"/>
      <c r="U60" s="4"/>
      <c r="V60" s="5">
        <f t="shared" ref="V60" si="49">(U60)-(T60)</f>
        <v>0</v>
      </c>
      <c r="W60" s="4"/>
      <c r="X60" s="4"/>
      <c r="Y60" s="5">
        <f t="shared" ref="Y60" si="50">(X60)-(W60)</f>
        <v>0</v>
      </c>
      <c r="Z60" s="4"/>
      <c r="AA60" s="4"/>
      <c r="AB60" s="5">
        <f t="shared" ref="AB60" si="51">(AA60)-(Z60)</f>
        <v>0</v>
      </c>
      <c r="AC60" s="4"/>
      <c r="AD60" s="4"/>
      <c r="AE60" s="5">
        <f t="shared" ref="AE60" si="52">(AD60)-(AC60)</f>
        <v>0</v>
      </c>
      <c r="AF60" s="4"/>
      <c r="AG60" s="4"/>
      <c r="AH60" s="5">
        <f t="shared" ref="AH60" si="53">(AG60)-(AF60)</f>
        <v>0</v>
      </c>
      <c r="AI60" s="4"/>
      <c r="AJ60" s="4"/>
      <c r="AK60" s="5">
        <f t="shared" ref="AK60" si="54">(AJ60)-(AI60)</f>
        <v>0</v>
      </c>
      <c r="AL60" s="5">
        <f t="shared" ref="AL60" si="55">(((((((((((B60)+(E60))+(H60))+(K60))+(N60))+(Q60))+(T60))+(W60))+(Z60))+(AC60))+(AF60))+(AI60)</f>
        <v>0</v>
      </c>
      <c r="AM60" s="12">
        <f t="shared" ref="AM60" si="56">(((((((((((C60)+(F60))+(I60))+(L60))+(O60))+(R60))+(U60))+(X60))+(AA60))+(AD60))+(AG60))+(AJ60)</f>
        <v>0</v>
      </c>
      <c r="AN60" s="5"/>
    </row>
    <row r="61" spans="1:40" x14ac:dyDescent="0.45">
      <c r="A61" s="3" t="s">
        <v>68</v>
      </c>
      <c r="B61" s="4"/>
      <c r="C61" s="5">
        <f>583.33</f>
        <v>583.33000000000004</v>
      </c>
      <c r="D61" s="5">
        <f t="shared" ref="D61:D77" si="57">(C61)-(B61)</f>
        <v>583.33000000000004</v>
      </c>
      <c r="E61" s="4"/>
      <c r="F61" s="5">
        <f>583.33</f>
        <v>583.33000000000004</v>
      </c>
      <c r="G61" s="5">
        <f t="shared" ref="G61:G77" si="58">(F61)-(E61)</f>
        <v>583.33000000000004</v>
      </c>
      <c r="H61" s="4"/>
      <c r="I61" s="5">
        <f>583.33</f>
        <v>583.33000000000004</v>
      </c>
      <c r="J61" s="5">
        <f t="shared" ref="J61:J77" si="59">(I61)-(H61)</f>
        <v>583.33000000000004</v>
      </c>
      <c r="K61" s="4"/>
      <c r="L61" s="5">
        <f>583.33</f>
        <v>583.33000000000004</v>
      </c>
      <c r="M61" s="5">
        <f t="shared" ref="M61:M77" si="60">(L61)-(K61)</f>
        <v>583.33000000000004</v>
      </c>
      <c r="N61" s="5">
        <f>7525.71</f>
        <v>7525.71</v>
      </c>
      <c r="O61" s="5">
        <f>583.33</f>
        <v>583.33000000000004</v>
      </c>
      <c r="P61" s="5">
        <f t="shared" ref="P61:P77" si="61">(O61)-(N61)</f>
        <v>-6942.38</v>
      </c>
      <c r="Q61" s="4"/>
      <c r="R61" s="5">
        <f>583.33</f>
        <v>583.33000000000004</v>
      </c>
      <c r="S61" s="5">
        <f t="shared" ref="S61:S77" si="62">(R61)-(Q61)</f>
        <v>583.33000000000004</v>
      </c>
      <c r="T61" s="4"/>
      <c r="U61" s="5">
        <f>583.33</f>
        <v>583.33000000000004</v>
      </c>
      <c r="V61" s="5">
        <f t="shared" ref="V61:V77" si="63">(U61)-(T61)</f>
        <v>583.33000000000004</v>
      </c>
      <c r="W61" s="4"/>
      <c r="X61" s="5">
        <f>583.33</f>
        <v>583.33000000000004</v>
      </c>
      <c r="Y61" s="5">
        <f t="shared" ref="Y61:Y77" si="64">(X61)-(W61)</f>
        <v>583.33000000000004</v>
      </c>
      <c r="Z61" s="4"/>
      <c r="AA61" s="5">
        <f>583.33</f>
        <v>583.33000000000004</v>
      </c>
      <c r="AB61" s="5">
        <f t="shared" ref="AB61:AB77" si="65">(AA61)-(Z61)</f>
        <v>583.33000000000004</v>
      </c>
      <c r="AC61" s="4"/>
      <c r="AD61" s="5">
        <f>583.33</f>
        <v>583.33000000000004</v>
      </c>
      <c r="AE61" s="5">
        <f t="shared" ref="AE61:AE77" si="66">(AD61)-(AC61)</f>
        <v>583.33000000000004</v>
      </c>
      <c r="AF61" s="4"/>
      <c r="AG61" s="5">
        <f>583.33</f>
        <v>583.33000000000004</v>
      </c>
      <c r="AH61" s="5">
        <f t="shared" ref="AH61:AH77" si="67">(AG61)-(AF61)</f>
        <v>583.33000000000004</v>
      </c>
      <c r="AI61" s="4"/>
      <c r="AJ61" s="5">
        <f>583.37</f>
        <v>583.37</v>
      </c>
      <c r="AK61" s="5">
        <f t="shared" ref="AK61:AK77" si="68">(AJ61)-(AI61)</f>
        <v>583.37</v>
      </c>
      <c r="AL61" s="5">
        <f t="shared" ref="AL61:AL77" si="69">(((((((((((B61)+(E61))+(H61))+(K61))+(N61))+(Q61))+(T61))+(W61))+(Z61))+(AC61))+(AF61))+(AI61)</f>
        <v>7525.71</v>
      </c>
      <c r="AM61" s="12">
        <f t="shared" ref="AM61:AM77" si="70">(((((((((((C61)+(F61))+(I61))+(L61))+(O61))+(R61))+(U61))+(X61))+(AA61))+(AD61))+(AG61))+(AJ61)</f>
        <v>7000</v>
      </c>
      <c r="AN61" s="5">
        <v>7500</v>
      </c>
    </row>
    <row r="62" spans="1:40" x14ac:dyDescent="0.45">
      <c r="A62" s="3" t="s">
        <v>69</v>
      </c>
      <c r="B62" s="4"/>
      <c r="C62" s="4"/>
      <c r="D62" s="5">
        <f t="shared" si="57"/>
        <v>0</v>
      </c>
      <c r="E62" s="4"/>
      <c r="F62" s="4"/>
      <c r="G62" s="5">
        <f t="shared" si="58"/>
        <v>0</v>
      </c>
      <c r="H62" s="4"/>
      <c r="I62" s="4"/>
      <c r="J62" s="5">
        <f t="shared" si="59"/>
        <v>0</v>
      </c>
      <c r="K62" s="4"/>
      <c r="L62" s="4"/>
      <c r="M62" s="5">
        <f t="shared" si="60"/>
        <v>0</v>
      </c>
      <c r="N62" s="4"/>
      <c r="O62" s="4"/>
      <c r="P62" s="5">
        <f t="shared" si="61"/>
        <v>0</v>
      </c>
      <c r="Q62" s="4"/>
      <c r="R62" s="4"/>
      <c r="S62" s="5">
        <f t="shared" si="62"/>
        <v>0</v>
      </c>
      <c r="T62" s="4"/>
      <c r="U62" s="4"/>
      <c r="V62" s="5">
        <f t="shared" si="63"/>
        <v>0</v>
      </c>
      <c r="W62" s="5">
        <f>3</f>
        <v>3</v>
      </c>
      <c r="X62" s="4"/>
      <c r="Y62" s="5">
        <f t="shared" si="64"/>
        <v>-3</v>
      </c>
      <c r="Z62" s="4"/>
      <c r="AA62" s="4"/>
      <c r="AB62" s="5">
        <f t="shared" si="65"/>
        <v>0</v>
      </c>
      <c r="AC62" s="4"/>
      <c r="AD62" s="4"/>
      <c r="AE62" s="5">
        <f t="shared" si="66"/>
        <v>0</v>
      </c>
      <c r="AF62" s="4"/>
      <c r="AG62" s="4"/>
      <c r="AH62" s="5">
        <f t="shared" si="67"/>
        <v>0</v>
      </c>
      <c r="AI62" s="4"/>
      <c r="AJ62" s="4"/>
      <c r="AK62" s="5">
        <f t="shared" si="68"/>
        <v>0</v>
      </c>
      <c r="AL62" s="5">
        <f t="shared" si="69"/>
        <v>3</v>
      </c>
      <c r="AM62" s="12">
        <f t="shared" si="70"/>
        <v>0</v>
      </c>
      <c r="AN62" s="5"/>
    </row>
    <row r="63" spans="1:40" x14ac:dyDescent="0.45">
      <c r="A63" s="3" t="s">
        <v>70</v>
      </c>
      <c r="B63" s="4"/>
      <c r="C63" s="4"/>
      <c r="D63" s="5">
        <f t="shared" si="57"/>
        <v>0</v>
      </c>
      <c r="E63" s="5">
        <f>490.87</f>
        <v>490.87</v>
      </c>
      <c r="F63" s="4"/>
      <c r="G63" s="5">
        <f t="shared" si="58"/>
        <v>-490.87</v>
      </c>
      <c r="H63" s="4"/>
      <c r="I63" s="4"/>
      <c r="J63" s="5">
        <f t="shared" si="59"/>
        <v>0</v>
      </c>
      <c r="K63" s="4"/>
      <c r="L63" s="4"/>
      <c r="M63" s="5">
        <f t="shared" si="60"/>
        <v>0</v>
      </c>
      <c r="N63" s="5">
        <f>54.01</f>
        <v>54.01</v>
      </c>
      <c r="O63" s="4"/>
      <c r="P63" s="5">
        <f t="shared" si="61"/>
        <v>-54.01</v>
      </c>
      <c r="Q63" s="4"/>
      <c r="R63" s="4"/>
      <c r="S63" s="5">
        <f t="shared" si="62"/>
        <v>0</v>
      </c>
      <c r="T63" s="4"/>
      <c r="U63" s="4"/>
      <c r="V63" s="5">
        <f t="shared" si="63"/>
        <v>0</v>
      </c>
      <c r="W63" s="4"/>
      <c r="X63" s="4"/>
      <c r="Y63" s="5">
        <f t="shared" si="64"/>
        <v>0</v>
      </c>
      <c r="Z63" s="4"/>
      <c r="AA63" s="4"/>
      <c r="AB63" s="5">
        <f t="shared" si="65"/>
        <v>0</v>
      </c>
      <c r="AC63" s="4"/>
      <c r="AD63" s="4"/>
      <c r="AE63" s="5">
        <f t="shared" si="66"/>
        <v>0</v>
      </c>
      <c r="AF63" s="4"/>
      <c r="AG63" s="4"/>
      <c r="AH63" s="5">
        <f t="shared" si="67"/>
        <v>0</v>
      </c>
      <c r="AI63" s="4"/>
      <c r="AJ63" s="4"/>
      <c r="AK63" s="5">
        <f t="shared" si="68"/>
        <v>0</v>
      </c>
      <c r="AL63" s="5">
        <f t="shared" si="69"/>
        <v>544.88</v>
      </c>
      <c r="AM63" s="12">
        <f t="shared" si="70"/>
        <v>0</v>
      </c>
      <c r="AN63" s="5"/>
    </row>
    <row r="64" spans="1:40" x14ac:dyDescent="0.45">
      <c r="A64" s="3" t="s">
        <v>71</v>
      </c>
      <c r="B64" s="6">
        <f>(((B60)+(B61))+(B62))+(B63)</f>
        <v>0</v>
      </c>
      <c r="C64" s="6">
        <f>(((C60)+(C61))+(C62))+(C63)</f>
        <v>583.33000000000004</v>
      </c>
      <c r="D64" s="6">
        <f t="shared" si="57"/>
        <v>583.33000000000004</v>
      </c>
      <c r="E64" s="6">
        <f>(((E60)+(E61))+(E62))+(E63)</f>
        <v>490.87</v>
      </c>
      <c r="F64" s="6">
        <f>(((F60)+(F61))+(F62))+(F63)</f>
        <v>583.33000000000004</v>
      </c>
      <c r="G64" s="6">
        <f t="shared" si="58"/>
        <v>92.460000000000036</v>
      </c>
      <c r="H64" s="6">
        <f>(((H60)+(H61))+(H62))+(H63)</f>
        <v>0</v>
      </c>
      <c r="I64" s="6">
        <f>(((I60)+(I61))+(I62))+(I63)</f>
        <v>583.33000000000004</v>
      </c>
      <c r="J64" s="6">
        <f t="shared" si="59"/>
        <v>583.33000000000004</v>
      </c>
      <c r="K64" s="6">
        <f>(((K60)+(K61))+(K62))+(K63)</f>
        <v>0</v>
      </c>
      <c r="L64" s="6">
        <f>(((L60)+(L61))+(L62))+(L63)</f>
        <v>583.33000000000004</v>
      </c>
      <c r="M64" s="6">
        <f t="shared" si="60"/>
        <v>583.33000000000004</v>
      </c>
      <c r="N64" s="6">
        <f>(((N60)+(N61))+(N62))+(N63)</f>
        <v>7579.72</v>
      </c>
      <c r="O64" s="6">
        <f>(((O60)+(O61))+(O62))+(O63)</f>
        <v>583.33000000000004</v>
      </c>
      <c r="P64" s="6">
        <f t="shared" si="61"/>
        <v>-6996.39</v>
      </c>
      <c r="Q64" s="6">
        <f>(((Q60)+(Q61))+(Q62))+(Q63)</f>
        <v>0</v>
      </c>
      <c r="R64" s="6">
        <f>(((R60)+(R61))+(R62))+(R63)</f>
        <v>583.33000000000004</v>
      </c>
      <c r="S64" s="6">
        <f t="shared" si="62"/>
        <v>583.33000000000004</v>
      </c>
      <c r="T64" s="6">
        <f>(((T60)+(T61))+(T62))+(T63)</f>
        <v>0</v>
      </c>
      <c r="U64" s="6">
        <f>(((U60)+(U61))+(U62))+(U63)</f>
        <v>583.33000000000004</v>
      </c>
      <c r="V64" s="6">
        <f t="shared" si="63"/>
        <v>583.33000000000004</v>
      </c>
      <c r="W64" s="6">
        <f>(((W60)+(W61))+(W62))+(W63)</f>
        <v>3</v>
      </c>
      <c r="X64" s="6">
        <f>(((X60)+(X61))+(X62))+(X63)</f>
        <v>583.33000000000004</v>
      </c>
      <c r="Y64" s="6">
        <f t="shared" si="64"/>
        <v>580.33000000000004</v>
      </c>
      <c r="Z64" s="6">
        <f>(((Z60)+(Z61))+(Z62))+(Z63)</f>
        <v>0</v>
      </c>
      <c r="AA64" s="6">
        <f>(((AA60)+(AA61))+(AA62))+(AA63)</f>
        <v>583.33000000000004</v>
      </c>
      <c r="AB64" s="6">
        <f t="shared" si="65"/>
        <v>583.33000000000004</v>
      </c>
      <c r="AC64" s="6">
        <f>(((AC60)+(AC61))+(AC62))+(AC63)</f>
        <v>0</v>
      </c>
      <c r="AD64" s="6">
        <f>(((AD60)+(AD61))+(AD62))+(AD63)</f>
        <v>583.33000000000004</v>
      </c>
      <c r="AE64" s="6">
        <f t="shared" si="66"/>
        <v>583.33000000000004</v>
      </c>
      <c r="AF64" s="6">
        <f>(((AF60)+(AF61))+(AF62))+(AF63)</f>
        <v>0</v>
      </c>
      <c r="AG64" s="6">
        <f>(((AG60)+(AG61))+(AG62))+(AG63)</f>
        <v>583.33000000000004</v>
      </c>
      <c r="AH64" s="6">
        <f t="shared" si="67"/>
        <v>583.33000000000004</v>
      </c>
      <c r="AI64" s="6">
        <f>(((AI60)+(AI61))+(AI62))+(AI63)</f>
        <v>0</v>
      </c>
      <c r="AJ64" s="6">
        <f>(((AJ60)+(AJ61))+(AJ62))+(AJ63)</f>
        <v>583.37</v>
      </c>
      <c r="AK64" s="6">
        <f t="shared" si="68"/>
        <v>583.37</v>
      </c>
      <c r="AL64" s="6">
        <f t="shared" si="69"/>
        <v>8073.59</v>
      </c>
      <c r="AM64" s="13">
        <f t="shared" si="70"/>
        <v>7000</v>
      </c>
      <c r="AN64" s="30">
        <v>7500</v>
      </c>
    </row>
    <row r="65" spans="1:46" x14ac:dyDescent="0.45">
      <c r="A65" s="3" t="s">
        <v>72</v>
      </c>
      <c r="B65" s="4"/>
      <c r="C65" s="4"/>
      <c r="D65" s="5">
        <f t="shared" si="57"/>
        <v>0</v>
      </c>
      <c r="E65" s="4"/>
      <c r="F65" s="4"/>
      <c r="G65" s="5">
        <f t="shared" si="58"/>
        <v>0</v>
      </c>
      <c r="H65" s="4"/>
      <c r="I65" s="4"/>
      <c r="J65" s="5">
        <f t="shared" si="59"/>
        <v>0</v>
      </c>
      <c r="K65" s="4"/>
      <c r="L65" s="4"/>
      <c r="M65" s="5">
        <f t="shared" si="60"/>
        <v>0</v>
      </c>
      <c r="N65" s="4"/>
      <c r="O65" s="4"/>
      <c r="P65" s="5">
        <f t="shared" si="61"/>
        <v>0</v>
      </c>
      <c r="Q65" s="4"/>
      <c r="R65" s="4"/>
      <c r="S65" s="5">
        <f t="shared" si="62"/>
        <v>0</v>
      </c>
      <c r="T65" s="4"/>
      <c r="U65" s="4"/>
      <c r="V65" s="5">
        <f t="shared" si="63"/>
        <v>0</v>
      </c>
      <c r="W65" s="4"/>
      <c r="X65" s="4"/>
      <c r="Y65" s="5">
        <f t="shared" si="64"/>
        <v>0</v>
      </c>
      <c r="Z65" s="4"/>
      <c r="AA65" s="4"/>
      <c r="AB65" s="5">
        <f t="shared" si="65"/>
        <v>0</v>
      </c>
      <c r="AC65" s="4"/>
      <c r="AD65" s="4"/>
      <c r="AE65" s="5">
        <f t="shared" si="66"/>
        <v>0</v>
      </c>
      <c r="AF65" s="4"/>
      <c r="AG65" s="4"/>
      <c r="AH65" s="5">
        <f t="shared" si="67"/>
        <v>0</v>
      </c>
      <c r="AI65" s="4"/>
      <c r="AJ65" s="4"/>
      <c r="AK65" s="5">
        <f t="shared" si="68"/>
        <v>0</v>
      </c>
      <c r="AL65" s="5">
        <f t="shared" si="69"/>
        <v>0</v>
      </c>
      <c r="AM65" s="12">
        <f t="shared" si="70"/>
        <v>0</v>
      </c>
      <c r="AN65" s="5"/>
    </row>
    <row r="66" spans="1:46" x14ac:dyDescent="0.45">
      <c r="A66" s="3" t="s">
        <v>73</v>
      </c>
      <c r="B66" s="4"/>
      <c r="C66" s="5">
        <f>833.33</f>
        <v>833.33</v>
      </c>
      <c r="D66" s="5">
        <f t="shared" si="57"/>
        <v>833.33</v>
      </c>
      <c r="E66" s="4"/>
      <c r="F66" s="5">
        <f>833.33</f>
        <v>833.33</v>
      </c>
      <c r="G66" s="5">
        <f t="shared" si="58"/>
        <v>833.33</v>
      </c>
      <c r="H66" s="4"/>
      <c r="I66" s="5">
        <f>833.33</f>
        <v>833.33</v>
      </c>
      <c r="J66" s="5">
        <f t="shared" si="59"/>
        <v>833.33</v>
      </c>
      <c r="K66" s="4"/>
      <c r="L66" s="5">
        <f>833.33</f>
        <v>833.33</v>
      </c>
      <c r="M66" s="5">
        <f t="shared" si="60"/>
        <v>833.33</v>
      </c>
      <c r="N66" s="4"/>
      <c r="O66" s="5">
        <f>833.33</f>
        <v>833.33</v>
      </c>
      <c r="P66" s="5">
        <f t="shared" si="61"/>
        <v>833.33</v>
      </c>
      <c r="Q66" s="4"/>
      <c r="R66" s="5">
        <f>833.33</f>
        <v>833.33</v>
      </c>
      <c r="S66" s="5">
        <f t="shared" si="62"/>
        <v>833.33</v>
      </c>
      <c r="T66" s="4"/>
      <c r="U66" s="5">
        <f>833.33</f>
        <v>833.33</v>
      </c>
      <c r="V66" s="5">
        <f t="shared" si="63"/>
        <v>833.33</v>
      </c>
      <c r="W66" s="4"/>
      <c r="X66" s="5">
        <f>833.33</f>
        <v>833.33</v>
      </c>
      <c r="Y66" s="5">
        <f t="shared" si="64"/>
        <v>833.33</v>
      </c>
      <c r="Z66" s="4"/>
      <c r="AA66" s="5">
        <f>833.33</f>
        <v>833.33</v>
      </c>
      <c r="AB66" s="5">
        <f t="shared" si="65"/>
        <v>833.33</v>
      </c>
      <c r="AC66" s="4"/>
      <c r="AD66" s="5">
        <f>833.33</f>
        <v>833.33</v>
      </c>
      <c r="AE66" s="5">
        <f t="shared" si="66"/>
        <v>833.33</v>
      </c>
      <c r="AF66" s="4"/>
      <c r="AG66" s="5">
        <f>833.33</f>
        <v>833.33</v>
      </c>
      <c r="AH66" s="5">
        <f t="shared" si="67"/>
        <v>833.33</v>
      </c>
      <c r="AI66" s="4"/>
      <c r="AJ66" s="5">
        <f>833.37</f>
        <v>833.37</v>
      </c>
      <c r="AK66" s="5">
        <f t="shared" si="68"/>
        <v>833.37</v>
      </c>
      <c r="AL66" s="5">
        <f t="shared" si="69"/>
        <v>0</v>
      </c>
      <c r="AM66" s="12">
        <f t="shared" si="70"/>
        <v>10000.000000000002</v>
      </c>
      <c r="AN66" s="5"/>
    </row>
    <row r="67" spans="1:46" x14ac:dyDescent="0.45">
      <c r="A67" s="3" t="s">
        <v>74</v>
      </c>
      <c r="B67" s="4"/>
      <c r="C67" s="4"/>
      <c r="D67" s="5">
        <f t="shared" si="57"/>
        <v>0</v>
      </c>
      <c r="E67" s="4"/>
      <c r="F67" s="4"/>
      <c r="G67" s="5">
        <f t="shared" si="58"/>
        <v>0</v>
      </c>
      <c r="H67" s="4"/>
      <c r="I67" s="4"/>
      <c r="J67" s="5">
        <f t="shared" si="59"/>
        <v>0</v>
      </c>
      <c r="K67" s="4"/>
      <c r="L67" s="4"/>
      <c r="M67" s="5">
        <f t="shared" si="60"/>
        <v>0</v>
      </c>
      <c r="N67" s="4"/>
      <c r="O67" s="4"/>
      <c r="P67" s="5">
        <f t="shared" si="61"/>
        <v>0</v>
      </c>
      <c r="Q67" s="4"/>
      <c r="R67" s="4"/>
      <c r="S67" s="5">
        <f t="shared" si="62"/>
        <v>0</v>
      </c>
      <c r="T67" s="4"/>
      <c r="U67" s="4"/>
      <c r="V67" s="5">
        <f t="shared" si="63"/>
        <v>0</v>
      </c>
      <c r="W67" s="4"/>
      <c r="X67" s="4"/>
      <c r="Y67" s="5">
        <f t="shared" si="64"/>
        <v>0</v>
      </c>
      <c r="Z67" s="4"/>
      <c r="AA67" s="4"/>
      <c r="AB67" s="5">
        <f t="shared" si="65"/>
        <v>0</v>
      </c>
      <c r="AC67" s="4"/>
      <c r="AD67" s="4"/>
      <c r="AE67" s="5">
        <f t="shared" si="66"/>
        <v>0</v>
      </c>
      <c r="AF67" s="4"/>
      <c r="AG67" s="4"/>
      <c r="AH67" s="5">
        <f t="shared" si="67"/>
        <v>0</v>
      </c>
      <c r="AI67" s="4"/>
      <c r="AJ67" s="4"/>
      <c r="AK67" s="5">
        <f t="shared" si="68"/>
        <v>0</v>
      </c>
      <c r="AL67" s="5">
        <f t="shared" si="69"/>
        <v>0</v>
      </c>
      <c r="AM67" s="12">
        <f t="shared" si="70"/>
        <v>0</v>
      </c>
      <c r="AN67" s="5"/>
    </row>
    <row r="68" spans="1:46" x14ac:dyDescent="0.45">
      <c r="A68" s="3" t="s">
        <v>75</v>
      </c>
      <c r="B68" s="4"/>
      <c r="C68" s="4"/>
      <c r="D68" s="5">
        <f t="shared" si="57"/>
        <v>0</v>
      </c>
      <c r="E68" s="4"/>
      <c r="F68" s="4"/>
      <c r="G68" s="5">
        <f t="shared" si="58"/>
        <v>0</v>
      </c>
      <c r="H68" s="4"/>
      <c r="I68" s="4"/>
      <c r="J68" s="5">
        <f t="shared" si="59"/>
        <v>0</v>
      </c>
      <c r="K68" s="4"/>
      <c r="L68" s="4"/>
      <c r="M68" s="5">
        <f t="shared" si="60"/>
        <v>0</v>
      </c>
      <c r="N68" s="4"/>
      <c r="O68" s="4"/>
      <c r="P68" s="5">
        <f t="shared" si="61"/>
        <v>0</v>
      </c>
      <c r="Q68" s="4"/>
      <c r="R68" s="4"/>
      <c r="S68" s="5">
        <f t="shared" si="62"/>
        <v>0</v>
      </c>
      <c r="T68" s="4"/>
      <c r="U68" s="4"/>
      <c r="V68" s="5">
        <f t="shared" si="63"/>
        <v>0</v>
      </c>
      <c r="W68" s="4"/>
      <c r="X68" s="4"/>
      <c r="Y68" s="5">
        <f t="shared" si="64"/>
        <v>0</v>
      </c>
      <c r="Z68" s="4"/>
      <c r="AA68" s="4"/>
      <c r="AB68" s="5">
        <f t="shared" si="65"/>
        <v>0</v>
      </c>
      <c r="AC68" s="4"/>
      <c r="AD68" s="4"/>
      <c r="AE68" s="5">
        <f t="shared" si="66"/>
        <v>0</v>
      </c>
      <c r="AF68" s="4"/>
      <c r="AG68" s="4"/>
      <c r="AH68" s="5">
        <f t="shared" si="67"/>
        <v>0</v>
      </c>
      <c r="AI68" s="4"/>
      <c r="AJ68" s="4"/>
      <c r="AK68" s="5">
        <f t="shared" si="68"/>
        <v>0</v>
      </c>
      <c r="AL68" s="5">
        <f t="shared" si="69"/>
        <v>0</v>
      </c>
      <c r="AM68" s="12">
        <f t="shared" si="70"/>
        <v>0</v>
      </c>
      <c r="AN68" s="5"/>
    </row>
    <row r="69" spans="1:46" x14ac:dyDescent="0.45">
      <c r="A69" s="3" t="s">
        <v>76</v>
      </c>
      <c r="B69" s="4"/>
      <c r="C69" s="4"/>
      <c r="D69" s="5">
        <f t="shared" si="57"/>
        <v>0</v>
      </c>
      <c r="E69" s="5">
        <f>806</f>
        <v>806</v>
      </c>
      <c r="F69" s="4"/>
      <c r="G69" s="5">
        <f t="shared" si="58"/>
        <v>-806</v>
      </c>
      <c r="H69" s="4"/>
      <c r="I69" s="4"/>
      <c r="J69" s="5">
        <f t="shared" si="59"/>
        <v>0</v>
      </c>
      <c r="K69" s="5">
        <f>689.87</f>
        <v>689.87</v>
      </c>
      <c r="L69" s="4"/>
      <c r="M69" s="5">
        <f t="shared" si="60"/>
        <v>-689.87</v>
      </c>
      <c r="N69" s="4"/>
      <c r="O69" s="4"/>
      <c r="P69" s="5">
        <f t="shared" si="61"/>
        <v>0</v>
      </c>
      <c r="Q69" s="5">
        <f>682</f>
        <v>682</v>
      </c>
      <c r="R69" s="4"/>
      <c r="S69" s="5">
        <f t="shared" si="62"/>
        <v>-682</v>
      </c>
      <c r="T69" s="5">
        <f>1716.68</f>
        <v>1716.68</v>
      </c>
      <c r="U69" s="4"/>
      <c r="V69" s="5">
        <f t="shared" si="63"/>
        <v>-1716.68</v>
      </c>
      <c r="W69" s="4"/>
      <c r="X69" s="4"/>
      <c r="Y69" s="5">
        <f t="shared" si="64"/>
        <v>0</v>
      </c>
      <c r="Z69" s="4"/>
      <c r="AA69" s="4"/>
      <c r="AB69" s="5">
        <f t="shared" si="65"/>
        <v>0</v>
      </c>
      <c r="AC69" s="4"/>
      <c r="AD69" s="4"/>
      <c r="AE69" s="5">
        <f t="shared" si="66"/>
        <v>0</v>
      </c>
      <c r="AF69" s="4"/>
      <c r="AG69" s="4"/>
      <c r="AH69" s="5">
        <f t="shared" si="67"/>
        <v>0</v>
      </c>
      <c r="AI69" s="4"/>
      <c r="AJ69" s="4"/>
      <c r="AK69" s="5">
        <f t="shared" si="68"/>
        <v>0</v>
      </c>
      <c r="AL69" s="5">
        <f t="shared" si="69"/>
        <v>3894.55</v>
      </c>
      <c r="AM69" s="12">
        <f t="shared" si="70"/>
        <v>0</v>
      </c>
      <c r="AN69" s="5"/>
    </row>
    <row r="70" spans="1:46" x14ac:dyDescent="0.45">
      <c r="A70" s="3" t="s">
        <v>77</v>
      </c>
      <c r="B70" s="6">
        <f>((((B65)+(B66))+(B67))+(B68))+(B69)</f>
        <v>0</v>
      </c>
      <c r="C70" s="6">
        <f>((((C65)+(C66))+(C67))+(C68))+(C69)</f>
        <v>833.33</v>
      </c>
      <c r="D70" s="6">
        <f t="shared" si="57"/>
        <v>833.33</v>
      </c>
      <c r="E70" s="6">
        <f>((((E65)+(E66))+(E67))+(E68))+(E69)</f>
        <v>806</v>
      </c>
      <c r="F70" s="6">
        <f>((((F65)+(F66))+(F67))+(F68))+(F69)</f>
        <v>833.33</v>
      </c>
      <c r="G70" s="6">
        <f t="shared" si="58"/>
        <v>27.330000000000041</v>
      </c>
      <c r="H70" s="6">
        <f>((((H65)+(H66))+(H67))+(H68))+(H69)</f>
        <v>0</v>
      </c>
      <c r="I70" s="6">
        <f>((((I65)+(I66))+(I67))+(I68))+(I69)</f>
        <v>833.33</v>
      </c>
      <c r="J70" s="6">
        <f t="shared" si="59"/>
        <v>833.33</v>
      </c>
      <c r="K70" s="6">
        <f>((((K65)+(K66))+(K67))+(K68))+(K69)</f>
        <v>689.87</v>
      </c>
      <c r="L70" s="6">
        <f>((((L65)+(L66))+(L67))+(L68))+(L69)</f>
        <v>833.33</v>
      </c>
      <c r="M70" s="6">
        <f t="shared" si="60"/>
        <v>143.46000000000004</v>
      </c>
      <c r="N70" s="6">
        <f>((((N65)+(N66))+(N67))+(N68))+(N69)</f>
        <v>0</v>
      </c>
      <c r="O70" s="6">
        <f>((((O65)+(O66))+(O67))+(O68))+(O69)</f>
        <v>833.33</v>
      </c>
      <c r="P70" s="6">
        <f t="shared" si="61"/>
        <v>833.33</v>
      </c>
      <c r="Q70" s="6">
        <f>((((Q65)+(Q66))+(Q67))+(Q68))+(Q69)</f>
        <v>682</v>
      </c>
      <c r="R70" s="6">
        <f>((((R65)+(R66))+(R67))+(R68))+(R69)</f>
        <v>833.33</v>
      </c>
      <c r="S70" s="6">
        <f t="shared" si="62"/>
        <v>151.33000000000004</v>
      </c>
      <c r="T70" s="6">
        <f>((((T65)+(T66))+(T67))+(T68))+(T69)</f>
        <v>1716.68</v>
      </c>
      <c r="U70" s="6">
        <f>((((U65)+(U66))+(U67))+(U68))+(U69)</f>
        <v>833.33</v>
      </c>
      <c r="V70" s="6">
        <f t="shared" si="63"/>
        <v>-883.35</v>
      </c>
      <c r="W70" s="6">
        <f>((((W65)+(W66))+(W67))+(W68))+(W69)</f>
        <v>0</v>
      </c>
      <c r="X70" s="6">
        <f>((((X65)+(X66))+(X67))+(X68))+(X69)</f>
        <v>833.33</v>
      </c>
      <c r="Y70" s="6">
        <f t="shared" si="64"/>
        <v>833.33</v>
      </c>
      <c r="Z70" s="6">
        <f>((((Z65)+(Z66))+(Z67))+(Z68))+(Z69)</f>
        <v>0</v>
      </c>
      <c r="AA70" s="6">
        <f>((((AA65)+(AA66))+(AA67))+(AA68))+(AA69)</f>
        <v>833.33</v>
      </c>
      <c r="AB70" s="6">
        <f t="shared" si="65"/>
        <v>833.33</v>
      </c>
      <c r="AC70" s="6">
        <f>((((AC65)+(AC66))+(AC67))+(AC68))+(AC69)</f>
        <v>0</v>
      </c>
      <c r="AD70" s="6">
        <f>((((AD65)+(AD66))+(AD67))+(AD68))+(AD69)</f>
        <v>833.33</v>
      </c>
      <c r="AE70" s="6">
        <f t="shared" si="66"/>
        <v>833.33</v>
      </c>
      <c r="AF70" s="6">
        <f>((((AF65)+(AF66))+(AF67))+(AF68))+(AF69)</f>
        <v>0</v>
      </c>
      <c r="AG70" s="6">
        <f>((((AG65)+(AG66))+(AG67))+(AG68))+(AG69)</f>
        <v>833.33</v>
      </c>
      <c r="AH70" s="6">
        <f t="shared" si="67"/>
        <v>833.33</v>
      </c>
      <c r="AI70" s="6">
        <f>((((AI65)+(AI66))+(AI67))+(AI68))+(AI69)</f>
        <v>0</v>
      </c>
      <c r="AJ70" s="6">
        <f>((((AJ65)+(AJ66))+(AJ67))+(AJ68))+(AJ69)</f>
        <v>833.37</v>
      </c>
      <c r="AK70" s="6">
        <f t="shared" si="68"/>
        <v>833.37</v>
      </c>
      <c r="AL70" s="6">
        <f t="shared" si="69"/>
        <v>3894.55</v>
      </c>
      <c r="AM70" s="13">
        <f t="shared" si="70"/>
        <v>10000.000000000002</v>
      </c>
      <c r="AN70" s="6"/>
    </row>
    <row r="71" spans="1:46" x14ac:dyDescent="0.45">
      <c r="A71" s="3" t="s">
        <v>78</v>
      </c>
      <c r="B71" s="4"/>
      <c r="C71" s="4"/>
      <c r="D71" s="5">
        <f t="shared" si="57"/>
        <v>0</v>
      </c>
      <c r="E71" s="4"/>
      <c r="F71" s="4"/>
      <c r="G71" s="5">
        <f t="shared" si="58"/>
        <v>0</v>
      </c>
      <c r="H71" s="4"/>
      <c r="I71" s="4"/>
      <c r="J71" s="5">
        <f t="shared" si="59"/>
        <v>0</v>
      </c>
      <c r="K71" s="4"/>
      <c r="L71" s="4"/>
      <c r="M71" s="5">
        <f t="shared" si="60"/>
        <v>0</v>
      </c>
      <c r="N71" s="4"/>
      <c r="O71" s="4"/>
      <c r="P71" s="5">
        <f t="shared" si="61"/>
        <v>0</v>
      </c>
      <c r="Q71" s="4"/>
      <c r="R71" s="4"/>
      <c r="S71" s="5">
        <f t="shared" si="62"/>
        <v>0</v>
      </c>
      <c r="T71" s="4"/>
      <c r="U71" s="4"/>
      <c r="V71" s="5">
        <f t="shared" si="63"/>
        <v>0</v>
      </c>
      <c r="W71" s="4"/>
      <c r="X71" s="4"/>
      <c r="Y71" s="5">
        <f t="shared" si="64"/>
        <v>0</v>
      </c>
      <c r="Z71" s="4"/>
      <c r="AA71" s="4"/>
      <c r="AB71" s="5">
        <f t="shared" si="65"/>
        <v>0</v>
      </c>
      <c r="AC71" s="4"/>
      <c r="AD71" s="4"/>
      <c r="AE71" s="5">
        <f t="shared" si="66"/>
        <v>0</v>
      </c>
      <c r="AF71" s="4"/>
      <c r="AG71" s="4"/>
      <c r="AH71" s="5">
        <f t="shared" si="67"/>
        <v>0</v>
      </c>
      <c r="AI71" s="4"/>
      <c r="AJ71" s="4"/>
      <c r="AK71" s="5">
        <f t="shared" si="68"/>
        <v>0</v>
      </c>
      <c r="AL71" s="5">
        <f t="shared" si="69"/>
        <v>0</v>
      </c>
      <c r="AM71" s="12">
        <f t="shared" si="70"/>
        <v>0</v>
      </c>
      <c r="AN71" s="5"/>
    </row>
    <row r="72" spans="1:46" x14ac:dyDescent="0.45">
      <c r="A72" s="3" t="s">
        <v>79</v>
      </c>
      <c r="B72" s="4"/>
      <c r="C72" s="4"/>
      <c r="D72" s="5">
        <f t="shared" si="57"/>
        <v>0</v>
      </c>
      <c r="E72" s="4"/>
      <c r="F72" s="4"/>
      <c r="G72" s="5">
        <f t="shared" si="58"/>
        <v>0</v>
      </c>
      <c r="H72" s="4"/>
      <c r="I72" s="4"/>
      <c r="J72" s="5">
        <f t="shared" si="59"/>
        <v>0</v>
      </c>
      <c r="K72" s="4"/>
      <c r="L72" s="4"/>
      <c r="M72" s="5">
        <f t="shared" si="60"/>
        <v>0</v>
      </c>
      <c r="N72" s="4"/>
      <c r="O72" s="4"/>
      <c r="P72" s="5">
        <f t="shared" si="61"/>
        <v>0</v>
      </c>
      <c r="Q72" s="4"/>
      <c r="R72" s="4"/>
      <c r="S72" s="5">
        <f t="shared" si="62"/>
        <v>0</v>
      </c>
      <c r="T72" s="4"/>
      <c r="U72" s="4"/>
      <c r="V72" s="5">
        <f t="shared" si="63"/>
        <v>0</v>
      </c>
      <c r="W72" s="4"/>
      <c r="X72" s="4"/>
      <c r="Y72" s="5">
        <f t="shared" si="64"/>
        <v>0</v>
      </c>
      <c r="Z72" s="4"/>
      <c r="AA72" s="4"/>
      <c r="AB72" s="5">
        <f t="shared" si="65"/>
        <v>0</v>
      </c>
      <c r="AC72" s="4"/>
      <c r="AD72" s="4"/>
      <c r="AE72" s="5">
        <f t="shared" si="66"/>
        <v>0</v>
      </c>
      <c r="AF72" s="4"/>
      <c r="AG72" s="4"/>
      <c r="AH72" s="5">
        <f t="shared" si="67"/>
        <v>0</v>
      </c>
      <c r="AI72" s="4"/>
      <c r="AJ72" s="4"/>
      <c r="AK72" s="5">
        <f t="shared" si="68"/>
        <v>0</v>
      </c>
      <c r="AL72" s="5">
        <f t="shared" si="69"/>
        <v>0</v>
      </c>
      <c r="AM72" s="12">
        <f t="shared" si="70"/>
        <v>0</v>
      </c>
      <c r="AN72" s="5">
        <v>2200</v>
      </c>
    </row>
    <row r="73" spans="1:46" x14ac:dyDescent="0.45">
      <c r="A73" s="3" t="s">
        <v>80</v>
      </c>
      <c r="B73" s="6">
        <f>(B71)+(B72)</f>
        <v>0</v>
      </c>
      <c r="C73" s="6">
        <f>(C71)+(C72)</f>
        <v>0</v>
      </c>
      <c r="D73" s="6">
        <f t="shared" si="57"/>
        <v>0</v>
      </c>
      <c r="E73" s="6">
        <f>(E71)+(E72)</f>
        <v>0</v>
      </c>
      <c r="F73" s="6">
        <f>(F71)+(F72)</f>
        <v>0</v>
      </c>
      <c r="G73" s="6">
        <f t="shared" si="58"/>
        <v>0</v>
      </c>
      <c r="H73" s="6">
        <f>(H71)+(H72)</f>
        <v>0</v>
      </c>
      <c r="I73" s="6">
        <f>(I71)+(I72)</f>
        <v>0</v>
      </c>
      <c r="J73" s="6">
        <f t="shared" si="59"/>
        <v>0</v>
      </c>
      <c r="K73" s="6">
        <f>(K71)+(K72)</f>
        <v>0</v>
      </c>
      <c r="L73" s="6">
        <f>(L71)+(L72)</f>
        <v>0</v>
      </c>
      <c r="M73" s="6">
        <f t="shared" si="60"/>
        <v>0</v>
      </c>
      <c r="N73" s="6">
        <f>(N71)+(N72)</f>
        <v>0</v>
      </c>
      <c r="O73" s="6">
        <f>(O71)+(O72)</f>
        <v>0</v>
      </c>
      <c r="P73" s="6">
        <f t="shared" si="61"/>
        <v>0</v>
      </c>
      <c r="Q73" s="6">
        <f>(Q71)+(Q72)</f>
        <v>0</v>
      </c>
      <c r="R73" s="6">
        <f>(R71)+(R72)</f>
        <v>0</v>
      </c>
      <c r="S73" s="6">
        <f t="shared" si="62"/>
        <v>0</v>
      </c>
      <c r="T73" s="6">
        <f>(T71)+(T72)</f>
        <v>0</v>
      </c>
      <c r="U73" s="6">
        <f>(U71)+(U72)</f>
        <v>0</v>
      </c>
      <c r="V73" s="6">
        <f t="shared" si="63"/>
        <v>0</v>
      </c>
      <c r="W73" s="6">
        <f>(W71)+(W72)</f>
        <v>0</v>
      </c>
      <c r="X73" s="6">
        <f>(X71)+(X72)</f>
        <v>0</v>
      </c>
      <c r="Y73" s="6">
        <f t="shared" si="64"/>
        <v>0</v>
      </c>
      <c r="Z73" s="6">
        <f>(Z71)+(Z72)</f>
        <v>0</v>
      </c>
      <c r="AA73" s="6">
        <f>(AA71)+(AA72)</f>
        <v>0</v>
      </c>
      <c r="AB73" s="6">
        <f t="shared" si="65"/>
        <v>0</v>
      </c>
      <c r="AC73" s="6">
        <f>(AC71)+(AC72)</f>
        <v>0</v>
      </c>
      <c r="AD73" s="6">
        <f>(AD71)+(AD72)</f>
        <v>0</v>
      </c>
      <c r="AE73" s="6">
        <f t="shared" si="66"/>
        <v>0</v>
      </c>
      <c r="AF73" s="6">
        <f>(AF71)+(AF72)</f>
        <v>0</v>
      </c>
      <c r="AG73" s="6">
        <f>(AG71)+(AG72)</f>
        <v>0</v>
      </c>
      <c r="AH73" s="6">
        <f t="shared" si="67"/>
        <v>0</v>
      </c>
      <c r="AI73" s="6">
        <f>(AI71)+(AI72)</f>
        <v>0</v>
      </c>
      <c r="AJ73" s="6">
        <f>(AJ71)+(AJ72)</f>
        <v>0</v>
      </c>
      <c r="AK73" s="6">
        <f t="shared" si="68"/>
        <v>0</v>
      </c>
      <c r="AL73" s="6">
        <f t="shared" si="69"/>
        <v>0</v>
      </c>
      <c r="AM73" s="13">
        <f t="shared" si="70"/>
        <v>0</v>
      </c>
      <c r="AN73" s="6"/>
    </row>
    <row r="74" spans="1:46" x14ac:dyDescent="0.45">
      <c r="A74" s="3" t="s">
        <v>81</v>
      </c>
      <c r="B74" s="5">
        <f>750</f>
        <v>750</v>
      </c>
      <c r="C74" s="5">
        <f>2166.67</f>
        <v>2166.67</v>
      </c>
      <c r="D74" s="5">
        <f t="shared" si="57"/>
        <v>1416.67</v>
      </c>
      <c r="E74" s="5">
        <f>750</f>
        <v>750</v>
      </c>
      <c r="F74" s="5">
        <f>2166.67</f>
        <v>2166.67</v>
      </c>
      <c r="G74" s="5">
        <f t="shared" si="58"/>
        <v>1416.67</v>
      </c>
      <c r="H74" s="5">
        <f>2459.71</f>
        <v>2459.71</v>
      </c>
      <c r="I74" s="5">
        <f>2166.67</f>
        <v>2166.67</v>
      </c>
      <c r="J74" s="5">
        <f t="shared" si="59"/>
        <v>-293.03999999999996</v>
      </c>
      <c r="K74" s="5">
        <f>2073.1</f>
        <v>2073.1</v>
      </c>
      <c r="L74" s="5">
        <f>2166.67</f>
        <v>2166.67</v>
      </c>
      <c r="M74" s="5">
        <f t="shared" si="60"/>
        <v>93.570000000000164</v>
      </c>
      <c r="N74" s="5">
        <f>4763.95</f>
        <v>4763.95</v>
      </c>
      <c r="O74" s="5">
        <f>2166.67</f>
        <v>2166.67</v>
      </c>
      <c r="P74" s="5">
        <f t="shared" si="61"/>
        <v>-2597.2799999999997</v>
      </c>
      <c r="Q74" s="5">
        <f>16185</f>
        <v>16185</v>
      </c>
      <c r="R74" s="5">
        <f>2166.67</f>
        <v>2166.67</v>
      </c>
      <c r="S74" s="5">
        <f t="shared" si="62"/>
        <v>-14018.33</v>
      </c>
      <c r="T74" s="5">
        <f>6908.1</f>
        <v>6908.1</v>
      </c>
      <c r="U74" s="5">
        <f>2166.67</f>
        <v>2166.67</v>
      </c>
      <c r="V74" s="5">
        <f t="shared" si="63"/>
        <v>-4741.43</v>
      </c>
      <c r="W74" s="5">
        <f>783.1</f>
        <v>783.1</v>
      </c>
      <c r="X74" s="5">
        <f>2166.67</f>
        <v>2166.67</v>
      </c>
      <c r="Y74" s="5">
        <f t="shared" si="64"/>
        <v>1383.5700000000002</v>
      </c>
      <c r="Z74" s="4"/>
      <c r="AA74" s="5">
        <f>2166.67</f>
        <v>2166.67</v>
      </c>
      <c r="AB74" s="5">
        <f t="shared" si="65"/>
        <v>2166.67</v>
      </c>
      <c r="AC74" s="4"/>
      <c r="AD74" s="5">
        <f>2166.67</f>
        <v>2166.67</v>
      </c>
      <c r="AE74" s="5">
        <f t="shared" si="66"/>
        <v>2166.67</v>
      </c>
      <c r="AF74" s="4"/>
      <c r="AG74" s="5">
        <f>2166.67</f>
        <v>2166.67</v>
      </c>
      <c r="AH74" s="5">
        <f t="shared" si="67"/>
        <v>2166.67</v>
      </c>
      <c r="AI74" s="4"/>
      <c r="AJ74" s="5">
        <f>2166.63</f>
        <v>2166.63</v>
      </c>
      <c r="AK74" s="5">
        <f t="shared" si="68"/>
        <v>2166.63</v>
      </c>
      <c r="AL74" s="5">
        <f t="shared" si="69"/>
        <v>34672.959999999999</v>
      </c>
      <c r="AM74" s="12">
        <f t="shared" si="70"/>
        <v>25999.999999999996</v>
      </c>
      <c r="AN74" s="5">
        <v>35000</v>
      </c>
    </row>
    <row r="75" spans="1:46" x14ac:dyDescent="0.45">
      <c r="A75" s="3" t="s">
        <v>82</v>
      </c>
      <c r="B75" s="5">
        <f>193.91</f>
        <v>193.91</v>
      </c>
      <c r="C75" s="4"/>
      <c r="D75" s="5">
        <f t="shared" si="57"/>
        <v>-193.91</v>
      </c>
      <c r="E75" s="5">
        <f>183.06</f>
        <v>183.06</v>
      </c>
      <c r="F75" s="4"/>
      <c r="G75" s="5">
        <f t="shared" si="58"/>
        <v>-183.06</v>
      </c>
      <c r="H75" s="5">
        <f>1000.13</f>
        <v>1000.13</v>
      </c>
      <c r="I75" s="4"/>
      <c r="J75" s="5">
        <f t="shared" si="59"/>
        <v>-1000.13</v>
      </c>
      <c r="K75" s="5">
        <f>79.94</f>
        <v>79.94</v>
      </c>
      <c r="L75" s="4"/>
      <c r="M75" s="5">
        <f t="shared" si="60"/>
        <v>-79.94</v>
      </c>
      <c r="N75" s="5">
        <f>109.11</f>
        <v>109.11</v>
      </c>
      <c r="O75" s="4"/>
      <c r="P75" s="5">
        <f t="shared" si="61"/>
        <v>-109.11</v>
      </c>
      <c r="Q75" s="5">
        <f>654.99</f>
        <v>654.99</v>
      </c>
      <c r="R75" s="4"/>
      <c r="S75" s="5">
        <f t="shared" si="62"/>
        <v>-654.99</v>
      </c>
      <c r="T75" s="5">
        <f>640.8</f>
        <v>640.79999999999995</v>
      </c>
      <c r="U75" s="4"/>
      <c r="V75" s="5">
        <f t="shared" si="63"/>
        <v>-640.79999999999995</v>
      </c>
      <c r="W75" s="5">
        <f>83.03</f>
        <v>83.03</v>
      </c>
      <c r="X75" s="4"/>
      <c r="Y75" s="5">
        <f t="shared" si="64"/>
        <v>-83.03</v>
      </c>
      <c r="Z75" s="4"/>
      <c r="AA75" s="4"/>
      <c r="AB75" s="5">
        <f t="shared" si="65"/>
        <v>0</v>
      </c>
      <c r="AC75" s="4"/>
      <c r="AD75" s="4"/>
      <c r="AE75" s="5">
        <f t="shared" si="66"/>
        <v>0</v>
      </c>
      <c r="AF75" s="4"/>
      <c r="AG75" s="4"/>
      <c r="AH75" s="5">
        <f t="shared" si="67"/>
        <v>0</v>
      </c>
      <c r="AI75" s="4"/>
      <c r="AJ75" s="4"/>
      <c r="AK75" s="5">
        <f t="shared" si="68"/>
        <v>0</v>
      </c>
      <c r="AL75" s="5">
        <f t="shared" si="69"/>
        <v>2944.97</v>
      </c>
      <c r="AM75" s="12">
        <f t="shared" si="70"/>
        <v>0</v>
      </c>
      <c r="AN75" s="5"/>
    </row>
    <row r="76" spans="1:46" x14ac:dyDescent="0.45">
      <c r="A76" s="3" t="s">
        <v>83</v>
      </c>
      <c r="B76" s="5">
        <f>450</f>
        <v>450</v>
      </c>
      <c r="C76" s="5">
        <f>1666.67</f>
        <v>1666.67</v>
      </c>
      <c r="D76" s="5">
        <f t="shared" si="57"/>
        <v>1216.67</v>
      </c>
      <c r="E76" s="4"/>
      <c r="F76" s="5">
        <f>1666.67</f>
        <v>1666.67</v>
      </c>
      <c r="G76" s="5">
        <f t="shared" si="58"/>
        <v>1666.67</v>
      </c>
      <c r="H76" s="4"/>
      <c r="I76" s="5">
        <f>1666.67</f>
        <v>1666.67</v>
      </c>
      <c r="J76" s="5">
        <f t="shared" si="59"/>
        <v>1666.67</v>
      </c>
      <c r="K76" s="4"/>
      <c r="L76" s="5">
        <f>1666.67</f>
        <v>1666.67</v>
      </c>
      <c r="M76" s="5">
        <f t="shared" si="60"/>
        <v>1666.67</v>
      </c>
      <c r="N76" s="4"/>
      <c r="O76" s="5">
        <f>1666.67</f>
        <v>1666.67</v>
      </c>
      <c r="P76" s="5">
        <f t="shared" si="61"/>
        <v>1666.67</v>
      </c>
      <c r="Q76" s="4"/>
      <c r="R76" s="5">
        <f>1666.67</f>
        <v>1666.67</v>
      </c>
      <c r="S76" s="5">
        <f t="shared" si="62"/>
        <v>1666.67</v>
      </c>
      <c r="T76" s="5">
        <f>450</f>
        <v>450</v>
      </c>
      <c r="U76" s="5">
        <f>1666.67</f>
        <v>1666.67</v>
      </c>
      <c r="V76" s="5">
        <f t="shared" si="63"/>
        <v>1216.67</v>
      </c>
      <c r="W76" s="5">
        <f>450</f>
        <v>450</v>
      </c>
      <c r="X76" s="5">
        <f>1666.67</f>
        <v>1666.67</v>
      </c>
      <c r="Y76" s="5">
        <f t="shared" si="64"/>
        <v>1216.67</v>
      </c>
      <c r="Z76" s="4"/>
      <c r="AA76" s="5">
        <f>1666.67</f>
        <v>1666.67</v>
      </c>
      <c r="AB76" s="5">
        <f t="shared" si="65"/>
        <v>1666.67</v>
      </c>
      <c r="AC76" s="4"/>
      <c r="AD76" s="5">
        <f>1666.67</f>
        <v>1666.67</v>
      </c>
      <c r="AE76" s="5">
        <f t="shared" si="66"/>
        <v>1666.67</v>
      </c>
      <c r="AF76" s="4"/>
      <c r="AG76" s="5">
        <f>1666.67</f>
        <v>1666.67</v>
      </c>
      <c r="AH76" s="5">
        <f t="shared" si="67"/>
        <v>1666.67</v>
      </c>
      <c r="AI76" s="4"/>
      <c r="AJ76" s="5">
        <f>1666.63</f>
        <v>1666.63</v>
      </c>
      <c r="AK76" s="5">
        <f t="shared" si="68"/>
        <v>1666.63</v>
      </c>
      <c r="AL76" s="5">
        <f t="shared" si="69"/>
        <v>1350</v>
      </c>
      <c r="AM76" s="12">
        <f t="shared" si="70"/>
        <v>20000.000000000004</v>
      </c>
      <c r="AN76" s="5">
        <v>5000</v>
      </c>
    </row>
    <row r="77" spans="1:46" x14ac:dyDescent="0.45">
      <c r="A77" s="3" t="s">
        <v>84</v>
      </c>
      <c r="B77" s="6" t="e">
        <f>(((((((((#REF!)+(#REF!))+(#REF!))+(B64))+(B70))+(#REF!))+(B73))+(B74))+(B75))+(B76)</f>
        <v>#REF!</v>
      </c>
      <c r="C77" s="6" t="e">
        <f>(((((((((#REF!)+(#REF!))+(#REF!))+(C64))+(C70))+(#REF!))+(C73))+(C74))+(C75))+(C76)</f>
        <v>#REF!</v>
      </c>
      <c r="D77" s="6" t="e">
        <f t="shared" si="57"/>
        <v>#REF!</v>
      </c>
      <c r="E77" s="6" t="e">
        <f>(((((((((#REF!)+(#REF!))+(#REF!))+(E64))+(E70))+(#REF!))+(E73))+(E74))+(E75))+(E76)</f>
        <v>#REF!</v>
      </c>
      <c r="F77" s="6" t="e">
        <f>(((((((((#REF!)+(#REF!))+(#REF!))+(F64))+(F70))+(#REF!))+(F73))+(F74))+(F75))+(F76)</f>
        <v>#REF!</v>
      </c>
      <c r="G77" s="6" t="e">
        <f t="shared" si="58"/>
        <v>#REF!</v>
      </c>
      <c r="H77" s="6" t="e">
        <f>(((((((((#REF!)+(#REF!))+(#REF!))+(H64))+(H70))+(#REF!))+(H73))+(H74))+(H75))+(H76)</f>
        <v>#REF!</v>
      </c>
      <c r="I77" s="6" t="e">
        <f>(((((((((#REF!)+(#REF!))+(#REF!))+(I64))+(I70))+(#REF!))+(I73))+(I74))+(I75))+(I76)</f>
        <v>#REF!</v>
      </c>
      <c r="J77" s="6" t="e">
        <f t="shared" si="59"/>
        <v>#REF!</v>
      </c>
      <c r="K77" s="6" t="e">
        <f>(((((((((#REF!)+(#REF!))+(#REF!))+(K64))+(K70))+(#REF!))+(K73))+(K74))+(K75))+(K76)</f>
        <v>#REF!</v>
      </c>
      <c r="L77" s="6" t="e">
        <f>(((((((((#REF!)+(#REF!))+(#REF!))+(L64))+(L70))+(#REF!))+(L73))+(L74))+(L75))+(L76)</f>
        <v>#REF!</v>
      </c>
      <c r="M77" s="6" t="e">
        <f t="shared" si="60"/>
        <v>#REF!</v>
      </c>
      <c r="N77" s="6" t="e">
        <f>(((((((((#REF!)+(#REF!))+(#REF!))+(N64))+(N70))+(#REF!))+(N73))+(N74))+(N75))+(N76)</f>
        <v>#REF!</v>
      </c>
      <c r="O77" s="6" t="e">
        <f>(((((((((#REF!)+(#REF!))+(#REF!))+(O64))+(O70))+(#REF!))+(O73))+(O74))+(O75))+(O76)</f>
        <v>#REF!</v>
      </c>
      <c r="P77" s="6" t="e">
        <f t="shared" si="61"/>
        <v>#REF!</v>
      </c>
      <c r="Q77" s="6" t="e">
        <f>(((((((((#REF!)+(#REF!))+(#REF!))+(Q64))+(Q70))+(#REF!))+(Q73))+(Q74))+(Q75))+(Q76)</f>
        <v>#REF!</v>
      </c>
      <c r="R77" s="6" t="e">
        <f>(((((((((#REF!)+(#REF!))+(#REF!))+(R64))+(R70))+(#REF!))+(R73))+(R74))+(R75))+(R76)</f>
        <v>#REF!</v>
      </c>
      <c r="S77" s="6" t="e">
        <f t="shared" si="62"/>
        <v>#REF!</v>
      </c>
      <c r="T77" s="6" t="e">
        <f>(((((((((#REF!)+(#REF!))+(#REF!))+(T64))+(T70))+(#REF!))+(T73))+(T74))+(T75))+(T76)</f>
        <v>#REF!</v>
      </c>
      <c r="U77" s="6" t="e">
        <f>(((((((((#REF!)+(#REF!))+(#REF!))+(U64))+(U70))+(#REF!))+(U73))+(U74))+(U75))+(U76)</f>
        <v>#REF!</v>
      </c>
      <c r="V77" s="6" t="e">
        <f t="shared" si="63"/>
        <v>#REF!</v>
      </c>
      <c r="W77" s="6" t="e">
        <f>(((((((((#REF!)+(#REF!))+(#REF!))+(W64))+(W70))+(#REF!))+(W73))+(W74))+(W75))+(W76)</f>
        <v>#REF!</v>
      </c>
      <c r="X77" s="6" t="e">
        <f>(((((((((#REF!)+(#REF!))+(#REF!))+(X64))+(X70))+(#REF!))+(X73))+(X74))+(X75))+(X76)</f>
        <v>#REF!</v>
      </c>
      <c r="Y77" s="6" t="e">
        <f t="shared" si="64"/>
        <v>#REF!</v>
      </c>
      <c r="Z77" s="6" t="e">
        <f>(((((((((#REF!)+(#REF!))+(#REF!))+(Z64))+(Z70))+(#REF!))+(Z73))+(Z74))+(Z75))+(Z76)</f>
        <v>#REF!</v>
      </c>
      <c r="AA77" s="6" t="e">
        <f>(((((((((#REF!)+(#REF!))+(#REF!))+(AA64))+(AA70))+(#REF!))+(AA73))+(AA74))+(AA75))+(AA76)</f>
        <v>#REF!</v>
      </c>
      <c r="AB77" s="6" t="e">
        <f t="shared" si="65"/>
        <v>#REF!</v>
      </c>
      <c r="AC77" s="6" t="e">
        <f>(((((((((#REF!)+(#REF!))+(#REF!))+(AC64))+(AC70))+(#REF!))+(AC73))+(AC74))+(AC75))+(AC76)</f>
        <v>#REF!</v>
      </c>
      <c r="AD77" s="6" t="e">
        <f>(((((((((#REF!)+(#REF!))+(#REF!))+(AD64))+(AD70))+(#REF!))+(AD73))+(AD74))+(AD75))+(AD76)</f>
        <v>#REF!</v>
      </c>
      <c r="AE77" s="6" t="e">
        <f t="shared" si="66"/>
        <v>#REF!</v>
      </c>
      <c r="AF77" s="6" t="e">
        <f>(((((((((#REF!)+(#REF!))+(#REF!))+(AF64))+(AF70))+(#REF!))+(AF73))+(AF74))+(AF75))+(AF76)</f>
        <v>#REF!</v>
      </c>
      <c r="AG77" s="6" t="e">
        <f>(((((((((#REF!)+(#REF!))+(#REF!))+(AG64))+(AG70))+(#REF!))+(AG73))+(AG74))+(AG75))+(AG76)</f>
        <v>#REF!</v>
      </c>
      <c r="AH77" s="6" t="e">
        <f t="shared" si="67"/>
        <v>#REF!</v>
      </c>
      <c r="AI77" s="6" t="e">
        <f>(((((((((#REF!)+(#REF!))+(#REF!))+(AI64))+(AI70))+(#REF!))+(AI73))+(AI74))+(AI75))+(AI76)</f>
        <v>#REF!</v>
      </c>
      <c r="AJ77" s="6" t="e">
        <f>(((((((((#REF!)+(#REF!))+(#REF!))+(AJ64))+(AJ70))+(#REF!))+(AJ73))+(AJ74))+(AJ75))+(AJ76)</f>
        <v>#REF!</v>
      </c>
      <c r="AK77" s="6" t="e">
        <f t="shared" si="68"/>
        <v>#REF!</v>
      </c>
      <c r="AL77" s="6" t="e">
        <f t="shared" si="69"/>
        <v>#REF!</v>
      </c>
      <c r="AM77" s="13" t="e">
        <f t="shared" si="70"/>
        <v>#REF!</v>
      </c>
      <c r="AN77" s="6">
        <v>49700</v>
      </c>
    </row>
    <row r="78" spans="1:46" x14ac:dyDescent="0.45">
      <c r="A78" s="3" t="s">
        <v>85</v>
      </c>
      <c r="B78" s="5">
        <f>76.51</f>
        <v>76.510000000000005</v>
      </c>
      <c r="C78" s="4"/>
      <c r="D78" s="5">
        <f t="shared" ref="D78:D107" si="71">(C78)-(B78)</f>
        <v>-76.510000000000005</v>
      </c>
      <c r="E78" s="4"/>
      <c r="F78" s="4"/>
      <c r="G78" s="5">
        <f t="shared" ref="G78:G107" si="72">(F78)-(E78)</f>
        <v>0</v>
      </c>
      <c r="H78" s="4"/>
      <c r="I78" s="4"/>
      <c r="J78" s="5">
        <f t="shared" ref="J78:J107" si="73">(I78)-(H78)</f>
        <v>0</v>
      </c>
      <c r="K78" s="4"/>
      <c r="L78" s="4"/>
      <c r="M78" s="5">
        <f t="shared" ref="M78:M107" si="74">(L78)-(K78)</f>
        <v>0</v>
      </c>
      <c r="N78" s="4"/>
      <c r="O78" s="4"/>
      <c r="P78" s="5">
        <f t="shared" ref="P78:P107" si="75">(O78)-(N78)</f>
        <v>0</v>
      </c>
      <c r="Q78" s="4"/>
      <c r="R78" s="4"/>
      <c r="S78" s="5">
        <f t="shared" ref="S78:S107" si="76">(R78)-(Q78)</f>
        <v>0</v>
      </c>
      <c r="T78" s="4"/>
      <c r="U78" s="4"/>
      <c r="V78" s="5">
        <f t="shared" ref="V78:V107" si="77">(U78)-(T78)</f>
        <v>0</v>
      </c>
      <c r="W78" s="4"/>
      <c r="X78" s="4"/>
      <c r="Y78" s="5">
        <f t="shared" ref="Y78:Y107" si="78">(X78)-(W78)</f>
        <v>0</v>
      </c>
      <c r="Z78" s="4"/>
      <c r="AA78" s="4"/>
      <c r="AB78" s="5">
        <f t="shared" ref="AB78:AB107" si="79">(AA78)-(Z78)</f>
        <v>0</v>
      </c>
      <c r="AC78" s="4"/>
      <c r="AD78" s="4"/>
      <c r="AE78" s="5">
        <f t="shared" ref="AE78:AE107" si="80">(AD78)-(AC78)</f>
        <v>0</v>
      </c>
      <c r="AF78" s="4"/>
      <c r="AG78" s="4"/>
      <c r="AH78" s="5">
        <f t="shared" ref="AH78:AH107" si="81">(AG78)-(AF78)</f>
        <v>0</v>
      </c>
      <c r="AI78" s="4"/>
      <c r="AJ78" s="4"/>
      <c r="AK78" s="5">
        <f t="shared" ref="AK78:AK107" si="82">(AJ78)-(AI78)</f>
        <v>0</v>
      </c>
      <c r="AL78" s="5">
        <f t="shared" ref="AL78:AL107" si="83">(((((((((((B78)+(E78))+(H78))+(K78))+(N78))+(Q78))+(T78))+(W78))+(Z78))+(AC78))+(AF78))+(AI78)</f>
        <v>76.510000000000005</v>
      </c>
      <c r="AM78" s="12">
        <f t="shared" ref="AM78:AM107" si="84">(((((((((((C78)+(F78))+(I78))+(L78))+(O78))+(R78))+(U78))+(X78))+(AA78))+(AD78))+(AG78))+(AJ78)</f>
        <v>0</v>
      </c>
      <c r="AN78" s="5"/>
      <c r="AT78" t="s">
        <v>179</v>
      </c>
    </row>
    <row r="79" spans="1:46" x14ac:dyDescent="0.45">
      <c r="A79" s="3" t="s">
        <v>86</v>
      </c>
      <c r="B79" s="4"/>
      <c r="C79" s="5">
        <f>166.67</f>
        <v>166.67</v>
      </c>
      <c r="D79" s="5">
        <f t="shared" si="71"/>
        <v>166.67</v>
      </c>
      <c r="E79" s="5">
        <f>262.25</f>
        <v>262.25</v>
      </c>
      <c r="F79" s="5">
        <f>166.67</f>
        <v>166.67</v>
      </c>
      <c r="G79" s="5">
        <f t="shared" si="72"/>
        <v>-95.580000000000013</v>
      </c>
      <c r="H79" s="4"/>
      <c r="I79" s="5">
        <f>166.67</f>
        <v>166.67</v>
      </c>
      <c r="J79" s="5">
        <f t="shared" si="73"/>
        <v>166.67</v>
      </c>
      <c r="K79" s="4"/>
      <c r="L79" s="5">
        <f>166.67</f>
        <v>166.67</v>
      </c>
      <c r="M79" s="5">
        <f t="shared" si="74"/>
        <v>166.67</v>
      </c>
      <c r="N79" s="4"/>
      <c r="O79" s="5">
        <f>166.67</f>
        <v>166.67</v>
      </c>
      <c r="P79" s="5">
        <f t="shared" si="75"/>
        <v>166.67</v>
      </c>
      <c r="Q79" s="4"/>
      <c r="R79" s="5">
        <f>166.67</f>
        <v>166.67</v>
      </c>
      <c r="S79" s="5">
        <f t="shared" si="76"/>
        <v>166.67</v>
      </c>
      <c r="T79" s="4"/>
      <c r="U79" s="5">
        <f>166.67</f>
        <v>166.67</v>
      </c>
      <c r="V79" s="5">
        <f t="shared" si="77"/>
        <v>166.67</v>
      </c>
      <c r="W79" s="5">
        <f>212.75</f>
        <v>212.75</v>
      </c>
      <c r="X79" s="5">
        <f>166.67</f>
        <v>166.67</v>
      </c>
      <c r="Y79" s="5">
        <f t="shared" si="78"/>
        <v>-46.080000000000013</v>
      </c>
      <c r="Z79" s="4"/>
      <c r="AA79" s="5">
        <f>166.67</f>
        <v>166.67</v>
      </c>
      <c r="AB79" s="5">
        <f t="shared" si="79"/>
        <v>166.67</v>
      </c>
      <c r="AC79" s="4"/>
      <c r="AD79" s="5">
        <f>166.67</f>
        <v>166.67</v>
      </c>
      <c r="AE79" s="5">
        <f t="shared" si="80"/>
        <v>166.67</v>
      </c>
      <c r="AF79" s="4"/>
      <c r="AG79" s="5">
        <f>166.67</f>
        <v>166.67</v>
      </c>
      <c r="AH79" s="5">
        <f t="shared" si="81"/>
        <v>166.67</v>
      </c>
      <c r="AI79" s="4"/>
      <c r="AJ79" s="5">
        <f>166.63</f>
        <v>166.63</v>
      </c>
      <c r="AK79" s="5">
        <f t="shared" si="82"/>
        <v>166.63</v>
      </c>
      <c r="AL79" s="5">
        <f t="shared" si="83"/>
        <v>475</v>
      </c>
      <c r="AM79" s="12">
        <v>2600</v>
      </c>
      <c r="AN79" s="5">
        <v>7052</v>
      </c>
      <c r="AS79" t="s">
        <v>177</v>
      </c>
      <c r="AT79">
        <v>2610</v>
      </c>
    </row>
    <row r="80" spans="1:46" x14ac:dyDescent="0.45">
      <c r="A80" s="3" t="s">
        <v>87</v>
      </c>
      <c r="B80" s="4"/>
      <c r="C80" s="4"/>
      <c r="D80" s="5">
        <f t="shared" si="71"/>
        <v>0</v>
      </c>
      <c r="E80" s="4"/>
      <c r="F80" s="4"/>
      <c r="G80" s="5">
        <f t="shared" si="72"/>
        <v>0</v>
      </c>
      <c r="H80" s="4"/>
      <c r="I80" s="4"/>
      <c r="J80" s="5">
        <f t="shared" si="73"/>
        <v>0</v>
      </c>
      <c r="K80" s="4"/>
      <c r="L80" s="4"/>
      <c r="M80" s="5">
        <f t="shared" si="74"/>
        <v>0</v>
      </c>
      <c r="N80" s="4"/>
      <c r="O80" s="4"/>
      <c r="P80" s="5">
        <f t="shared" si="75"/>
        <v>0</v>
      </c>
      <c r="Q80" s="4"/>
      <c r="R80" s="4"/>
      <c r="S80" s="5">
        <f t="shared" si="76"/>
        <v>0</v>
      </c>
      <c r="T80" s="4"/>
      <c r="U80" s="4"/>
      <c r="V80" s="5">
        <f t="shared" si="77"/>
        <v>0</v>
      </c>
      <c r="W80" s="4"/>
      <c r="X80" s="4"/>
      <c r="Y80" s="5">
        <f t="shared" si="78"/>
        <v>0</v>
      </c>
      <c r="Z80" s="4"/>
      <c r="AA80" s="4"/>
      <c r="AB80" s="5">
        <f t="shared" si="79"/>
        <v>0</v>
      </c>
      <c r="AC80" s="4"/>
      <c r="AD80" s="4"/>
      <c r="AE80" s="5">
        <f t="shared" si="80"/>
        <v>0</v>
      </c>
      <c r="AF80" s="4"/>
      <c r="AG80" s="4"/>
      <c r="AH80" s="5">
        <f t="shared" si="81"/>
        <v>0</v>
      </c>
      <c r="AI80" s="4"/>
      <c r="AJ80" s="4"/>
      <c r="AK80" s="5">
        <f t="shared" si="82"/>
        <v>0</v>
      </c>
      <c r="AL80" s="5">
        <f t="shared" si="83"/>
        <v>0</v>
      </c>
      <c r="AM80" s="12">
        <f t="shared" si="84"/>
        <v>0</v>
      </c>
      <c r="AN80" s="5"/>
      <c r="AS80" t="s">
        <v>178</v>
      </c>
      <c r="AT80">
        <v>2442</v>
      </c>
    </row>
    <row r="81" spans="1:46" x14ac:dyDescent="0.45">
      <c r="A81" s="3" t="s">
        <v>88</v>
      </c>
      <c r="B81" s="5">
        <f>1000</f>
        <v>1000</v>
      </c>
      <c r="C81" s="4"/>
      <c r="D81" s="5">
        <f t="shared" si="71"/>
        <v>-1000</v>
      </c>
      <c r="E81" s="5">
        <f>0</f>
        <v>0</v>
      </c>
      <c r="F81" s="4"/>
      <c r="G81" s="5">
        <f t="shared" si="72"/>
        <v>0</v>
      </c>
      <c r="H81" s="5">
        <f>2000</f>
        <v>2000</v>
      </c>
      <c r="I81" s="4"/>
      <c r="J81" s="5">
        <f t="shared" si="73"/>
        <v>-2000</v>
      </c>
      <c r="K81" s="5">
        <f>4000</f>
        <v>4000</v>
      </c>
      <c r="L81" s="4"/>
      <c r="M81" s="5">
        <f t="shared" si="74"/>
        <v>-4000</v>
      </c>
      <c r="N81" s="5">
        <f>1000</f>
        <v>1000</v>
      </c>
      <c r="O81" s="4"/>
      <c r="P81" s="5">
        <f t="shared" si="75"/>
        <v>-1000</v>
      </c>
      <c r="Q81" s="5">
        <f>1000</f>
        <v>1000</v>
      </c>
      <c r="R81" s="4"/>
      <c r="S81" s="5">
        <f t="shared" si="76"/>
        <v>-1000</v>
      </c>
      <c r="T81" s="5">
        <f>1000</f>
        <v>1000</v>
      </c>
      <c r="U81" s="4"/>
      <c r="V81" s="5">
        <f t="shared" si="77"/>
        <v>-1000</v>
      </c>
      <c r="W81" s="5">
        <f>1000</f>
        <v>1000</v>
      </c>
      <c r="X81" s="4"/>
      <c r="Y81" s="5">
        <f t="shared" si="78"/>
        <v>-1000</v>
      </c>
      <c r="Z81" s="4"/>
      <c r="AA81" s="4"/>
      <c r="AB81" s="5">
        <f t="shared" si="79"/>
        <v>0</v>
      </c>
      <c r="AC81" s="4"/>
      <c r="AD81" s="4"/>
      <c r="AE81" s="5">
        <f t="shared" si="80"/>
        <v>0</v>
      </c>
      <c r="AF81" s="4"/>
      <c r="AG81" s="4"/>
      <c r="AH81" s="5">
        <f t="shared" si="81"/>
        <v>0</v>
      </c>
      <c r="AI81" s="4"/>
      <c r="AJ81" s="4"/>
      <c r="AK81" s="5">
        <f t="shared" si="82"/>
        <v>0</v>
      </c>
      <c r="AL81" s="5">
        <f t="shared" si="83"/>
        <v>11000</v>
      </c>
      <c r="AM81" s="12">
        <f t="shared" si="84"/>
        <v>0</v>
      </c>
      <c r="AN81" s="5"/>
      <c r="AS81" s="28" t="s">
        <v>180</v>
      </c>
      <c r="AT81" s="28">
        <v>5052</v>
      </c>
    </row>
    <row r="82" spans="1:46" x14ac:dyDescent="0.45">
      <c r="A82" s="3" t="s">
        <v>89</v>
      </c>
      <c r="B82" s="5">
        <f>245.88</f>
        <v>245.88</v>
      </c>
      <c r="C82" s="5">
        <f>666.67</f>
        <v>666.67</v>
      </c>
      <c r="D82" s="5">
        <f t="shared" si="71"/>
        <v>420.78999999999996</v>
      </c>
      <c r="E82" s="5">
        <f>34.99</f>
        <v>34.99</v>
      </c>
      <c r="F82" s="5">
        <f>666.67</f>
        <v>666.67</v>
      </c>
      <c r="G82" s="5">
        <f t="shared" si="72"/>
        <v>631.67999999999995</v>
      </c>
      <c r="H82" s="5">
        <f>245.88</f>
        <v>245.88</v>
      </c>
      <c r="I82" s="5">
        <f>666.67</f>
        <v>666.67</v>
      </c>
      <c r="J82" s="5">
        <f t="shared" si="73"/>
        <v>420.78999999999996</v>
      </c>
      <c r="K82" s="5">
        <f>272.87</f>
        <v>272.87</v>
      </c>
      <c r="L82" s="5">
        <f>666.67</f>
        <v>666.67</v>
      </c>
      <c r="M82" s="5">
        <f t="shared" si="74"/>
        <v>393.79999999999995</v>
      </c>
      <c r="N82" s="5">
        <f>484.06</f>
        <v>484.06</v>
      </c>
      <c r="O82" s="5">
        <f>666.67</f>
        <v>666.67</v>
      </c>
      <c r="P82" s="5">
        <f t="shared" si="75"/>
        <v>182.60999999999996</v>
      </c>
      <c r="Q82" s="5">
        <f>34.99</f>
        <v>34.99</v>
      </c>
      <c r="R82" s="5">
        <f>666.67</f>
        <v>666.67</v>
      </c>
      <c r="S82" s="5">
        <f t="shared" si="76"/>
        <v>631.67999999999995</v>
      </c>
      <c r="T82" s="5">
        <f>273.17</f>
        <v>273.17</v>
      </c>
      <c r="U82" s="5">
        <f>666.67</f>
        <v>666.67</v>
      </c>
      <c r="V82" s="5">
        <f t="shared" si="77"/>
        <v>393.49999999999994</v>
      </c>
      <c r="W82" s="5">
        <f>681.28</f>
        <v>681.28</v>
      </c>
      <c r="X82" s="5">
        <f>666.67</f>
        <v>666.67</v>
      </c>
      <c r="Y82" s="5">
        <f t="shared" si="78"/>
        <v>-14.610000000000014</v>
      </c>
      <c r="Z82" s="4"/>
      <c r="AA82" s="5">
        <f>666.67</f>
        <v>666.67</v>
      </c>
      <c r="AB82" s="5">
        <f t="shared" si="79"/>
        <v>666.67</v>
      </c>
      <c r="AC82" s="4"/>
      <c r="AD82" s="5">
        <f>666.67</f>
        <v>666.67</v>
      </c>
      <c r="AE82" s="5">
        <f t="shared" si="80"/>
        <v>666.67</v>
      </c>
      <c r="AF82" s="4"/>
      <c r="AG82" s="5">
        <f>666.67</f>
        <v>666.67</v>
      </c>
      <c r="AH82" s="5">
        <f t="shared" si="81"/>
        <v>666.67</v>
      </c>
      <c r="AI82" s="4"/>
      <c r="AJ82" s="5">
        <f>666.63</f>
        <v>666.63</v>
      </c>
      <c r="AK82" s="5">
        <f t="shared" si="82"/>
        <v>666.63</v>
      </c>
      <c r="AL82" s="5">
        <f t="shared" si="83"/>
        <v>2273.12</v>
      </c>
      <c r="AM82" s="12">
        <f t="shared" si="84"/>
        <v>8000</v>
      </c>
      <c r="AN82" s="5">
        <v>4300</v>
      </c>
      <c r="AS82" t="s">
        <v>181</v>
      </c>
      <c r="AT82">
        <v>600</v>
      </c>
    </row>
    <row r="83" spans="1:46" x14ac:dyDescent="0.45">
      <c r="A83" s="3" t="s">
        <v>90</v>
      </c>
      <c r="B83" s="5">
        <f>14.99</f>
        <v>14.99</v>
      </c>
      <c r="C83" s="5">
        <f>300</f>
        <v>300</v>
      </c>
      <c r="D83" s="5">
        <f t="shared" si="71"/>
        <v>285.01</v>
      </c>
      <c r="E83" s="5">
        <f>382.85</f>
        <v>382.85</v>
      </c>
      <c r="F83" s="5">
        <f>300</f>
        <v>300</v>
      </c>
      <c r="G83" s="5">
        <f t="shared" si="72"/>
        <v>-82.850000000000023</v>
      </c>
      <c r="H83" s="5">
        <f>14.99</f>
        <v>14.99</v>
      </c>
      <c r="I83" s="5">
        <f>300</f>
        <v>300</v>
      </c>
      <c r="J83" s="5">
        <f t="shared" si="73"/>
        <v>285.01</v>
      </c>
      <c r="K83" s="5">
        <f>600</f>
        <v>600</v>
      </c>
      <c r="L83" s="5">
        <f>300</f>
        <v>300</v>
      </c>
      <c r="M83" s="5">
        <f t="shared" si="74"/>
        <v>-300</v>
      </c>
      <c r="N83" s="5">
        <f>193.45</f>
        <v>193.45</v>
      </c>
      <c r="O83" s="5">
        <f>300</f>
        <v>300</v>
      </c>
      <c r="P83" s="5">
        <f t="shared" si="75"/>
        <v>106.55000000000001</v>
      </c>
      <c r="Q83" s="5">
        <f>178.6</f>
        <v>178.6</v>
      </c>
      <c r="R83" s="5">
        <f>300</f>
        <v>300</v>
      </c>
      <c r="S83" s="5">
        <f t="shared" si="76"/>
        <v>121.4</v>
      </c>
      <c r="T83" s="5">
        <f>245.03</f>
        <v>245.03</v>
      </c>
      <c r="U83" s="5">
        <f>300</f>
        <v>300</v>
      </c>
      <c r="V83" s="5">
        <f t="shared" si="77"/>
        <v>54.97</v>
      </c>
      <c r="W83" s="5">
        <f>50.99</f>
        <v>50.99</v>
      </c>
      <c r="X83" s="5">
        <f>300</f>
        <v>300</v>
      </c>
      <c r="Y83" s="5">
        <f t="shared" si="78"/>
        <v>249.01</v>
      </c>
      <c r="Z83" s="4"/>
      <c r="AA83" s="5">
        <f>300</f>
        <v>300</v>
      </c>
      <c r="AB83" s="5">
        <f t="shared" si="79"/>
        <v>300</v>
      </c>
      <c r="AC83" s="4"/>
      <c r="AD83" s="5">
        <f>300</f>
        <v>300</v>
      </c>
      <c r="AE83" s="5">
        <f t="shared" si="80"/>
        <v>300</v>
      </c>
      <c r="AF83" s="4"/>
      <c r="AG83" s="5">
        <f>300</f>
        <v>300</v>
      </c>
      <c r="AH83" s="5">
        <f t="shared" si="81"/>
        <v>300</v>
      </c>
      <c r="AI83" s="4"/>
      <c r="AJ83" s="5">
        <f>300</f>
        <v>300</v>
      </c>
      <c r="AK83" s="5">
        <f t="shared" si="82"/>
        <v>300</v>
      </c>
      <c r="AL83" s="5">
        <f t="shared" si="83"/>
        <v>1680.8999999999999</v>
      </c>
      <c r="AM83" s="12">
        <f t="shared" si="84"/>
        <v>3600</v>
      </c>
      <c r="AN83" s="5">
        <v>3600</v>
      </c>
      <c r="AS83" t="s">
        <v>182</v>
      </c>
      <c r="AT83">
        <v>240</v>
      </c>
    </row>
    <row r="84" spans="1:46" x14ac:dyDescent="0.45">
      <c r="A84" s="3" t="s">
        <v>91</v>
      </c>
      <c r="B84" s="5">
        <f>124</f>
        <v>124</v>
      </c>
      <c r="C84" s="5">
        <f>500</f>
        <v>500</v>
      </c>
      <c r="D84" s="5">
        <f t="shared" si="71"/>
        <v>376</v>
      </c>
      <c r="E84" s="5">
        <f>63.11</f>
        <v>63.11</v>
      </c>
      <c r="F84" s="5">
        <f>500</f>
        <v>500</v>
      </c>
      <c r="G84" s="5">
        <f t="shared" si="72"/>
        <v>436.89</v>
      </c>
      <c r="H84" s="5">
        <f>41.17</f>
        <v>41.17</v>
      </c>
      <c r="I84" s="5">
        <f>500</f>
        <v>500</v>
      </c>
      <c r="J84" s="5">
        <f t="shared" si="73"/>
        <v>458.83</v>
      </c>
      <c r="K84" s="5">
        <f>255.07</f>
        <v>255.07</v>
      </c>
      <c r="L84" s="5">
        <f>500</f>
        <v>500</v>
      </c>
      <c r="M84" s="5">
        <f t="shared" si="74"/>
        <v>244.93</v>
      </c>
      <c r="N84" s="5">
        <f>208.7</f>
        <v>208.7</v>
      </c>
      <c r="O84" s="5">
        <f>500</f>
        <v>500</v>
      </c>
      <c r="P84" s="5">
        <f t="shared" si="75"/>
        <v>291.3</v>
      </c>
      <c r="Q84" s="5">
        <f>622.7</f>
        <v>622.70000000000005</v>
      </c>
      <c r="R84" s="5">
        <f>500</f>
        <v>500</v>
      </c>
      <c r="S84" s="5">
        <f t="shared" si="76"/>
        <v>-122.70000000000005</v>
      </c>
      <c r="T84" s="5">
        <f>99.85</f>
        <v>99.85</v>
      </c>
      <c r="U84" s="5">
        <f>500</f>
        <v>500</v>
      </c>
      <c r="V84" s="5">
        <f t="shared" si="77"/>
        <v>400.15</v>
      </c>
      <c r="W84" s="5">
        <f>-20.91</f>
        <v>-20.91</v>
      </c>
      <c r="X84" s="5">
        <f>500</f>
        <v>500</v>
      </c>
      <c r="Y84" s="5">
        <f t="shared" si="78"/>
        <v>520.91</v>
      </c>
      <c r="Z84" s="4"/>
      <c r="AA84" s="5">
        <f>500</f>
        <v>500</v>
      </c>
      <c r="AB84" s="5">
        <f t="shared" si="79"/>
        <v>500</v>
      </c>
      <c r="AC84" s="4"/>
      <c r="AD84" s="5">
        <f>500</f>
        <v>500</v>
      </c>
      <c r="AE84" s="5">
        <f t="shared" si="80"/>
        <v>500</v>
      </c>
      <c r="AF84" s="4"/>
      <c r="AG84" s="5">
        <f>500</f>
        <v>500</v>
      </c>
      <c r="AH84" s="5">
        <f t="shared" si="81"/>
        <v>500</v>
      </c>
      <c r="AI84" s="4"/>
      <c r="AJ84" s="5">
        <f>500</f>
        <v>500</v>
      </c>
      <c r="AK84" s="5">
        <f t="shared" si="82"/>
        <v>500</v>
      </c>
      <c r="AL84" s="5">
        <f t="shared" si="83"/>
        <v>1393.6899999999998</v>
      </c>
      <c r="AM84" s="12">
        <f t="shared" si="84"/>
        <v>6000</v>
      </c>
      <c r="AN84" s="5">
        <v>6000</v>
      </c>
    </row>
    <row r="85" spans="1:46" x14ac:dyDescent="0.45">
      <c r="A85" s="3" t="s">
        <v>92</v>
      </c>
      <c r="B85" s="4"/>
      <c r="C85" s="5">
        <f>258.33</f>
        <v>258.33</v>
      </c>
      <c r="D85" s="5">
        <f t="shared" si="71"/>
        <v>258.33</v>
      </c>
      <c r="E85" s="4"/>
      <c r="F85" s="5">
        <f>258.33</f>
        <v>258.33</v>
      </c>
      <c r="G85" s="5">
        <f t="shared" si="72"/>
        <v>258.33</v>
      </c>
      <c r="H85" s="4"/>
      <c r="I85" s="5">
        <f>258.33</f>
        <v>258.33</v>
      </c>
      <c r="J85" s="5">
        <f t="shared" si="73"/>
        <v>258.33</v>
      </c>
      <c r="K85" s="5">
        <f>14.99</f>
        <v>14.99</v>
      </c>
      <c r="L85" s="5">
        <f>258.33</f>
        <v>258.33</v>
      </c>
      <c r="M85" s="5">
        <f t="shared" si="74"/>
        <v>243.33999999999997</v>
      </c>
      <c r="N85" s="4"/>
      <c r="O85" s="5">
        <f>258.33</f>
        <v>258.33</v>
      </c>
      <c r="P85" s="5">
        <f t="shared" si="75"/>
        <v>258.33</v>
      </c>
      <c r="Q85" s="4"/>
      <c r="R85" s="5">
        <f>258.33</f>
        <v>258.33</v>
      </c>
      <c r="S85" s="5">
        <f t="shared" si="76"/>
        <v>258.33</v>
      </c>
      <c r="T85" s="5">
        <f>14.99</f>
        <v>14.99</v>
      </c>
      <c r="U85" s="5">
        <f>258.33</f>
        <v>258.33</v>
      </c>
      <c r="V85" s="5">
        <f t="shared" si="77"/>
        <v>243.33999999999997</v>
      </c>
      <c r="W85" s="4"/>
      <c r="X85" s="5">
        <f>258.33</f>
        <v>258.33</v>
      </c>
      <c r="Y85" s="5">
        <f t="shared" si="78"/>
        <v>258.33</v>
      </c>
      <c r="Z85" s="4"/>
      <c r="AA85" s="5">
        <f>258.33</f>
        <v>258.33</v>
      </c>
      <c r="AB85" s="5">
        <f t="shared" si="79"/>
        <v>258.33</v>
      </c>
      <c r="AC85" s="4"/>
      <c r="AD85" s="5">
        <f>258.33</f>
        <v>258.33</v>
      </c>
      <c r="AE85" s="5">
        <f t="shared" si="80"/>
        <v>258.33</v>
      </c>
      <c r="AF85" s="4"/>
      <c r="AG85" s="5">
        <f>258.33</f>
        <v>258.33</v>
      </c>
      <c r="AH85" s="5">
        <f t="shared" si="81"/>
        <v>258.33</v>
      </c>
      <c r="AI85" s="4"/>
      <c r="AJ85" s="5">
        <f>258.37</f>
        <v>258.37</v>
      </c>
      <c r="AK85" s="5">
        <f t="shared" si="82"/>
        <v>258.37</v>
      </c>
      <c r="AL85" s="5">
        <f t="shared" si="83"/>
        <v>29.98</v>
      </c>
      <c r="AM85" s="12">
        <f t="shared" si="84"/>
        <v>3099.9999999999995</v>
      </c>
      <c r="AN85" s="5">
        <v>3100</v>
      </c>
    </row>
    <row r="86" spans="1:46" x14ac:dyDescent="0.45">
      <c r="A86" s="3" t="s">
        <v>93</v>
      </c>
      <c r="B86" s="5">
        <f>13263.39</f>
        <v>13263.39</v>
      </c>
      <c r="C86" s="5">
        <f>13416.67</f>
        <v>13416.67</v>
      </c>
      <c r="D86" s="5">
        <f t="shared" si="71"/>
        <v>153.28000000000065</v>
      </c>
      <c r="E86" s="5">
        <f>13263.38</f>
        <v>13263.38</v>
      </c>
      <c r="F86" s="5">
        <f>13416.67</f>
        <v>13416.67</v>
      </c>
      <c r="G86" s="5">
        <f t="shared" si="72"/>
        <v>153.29000000000087</v>
      </c>
      <c r="H86" s="5">
        <f>13263.38</f>
        <v>13263.38</v>
      </c>
      <c r="I86" s="5">
        <f>13416.67</f>
        <v>13416.67</v>
      </c>
      <c r="J86" s="5">
        <f t="shared" si="73"/>
        <v>153.29000000000087</v>
      </c>
      <c r="K86" s="5">
        <f>15809.88</f>
        <v>15809.88</v>
      </c>
      <c r="L86" s="5">
        <f>13416.67</f>
        <v>13416.67</v>
      </c>
      <c r="M86" s="5">
        <f t="shared" si="74"/>
        <v>-2393.2099999999991</v>
      </c>
      <c r="N86" s="5">
        <f>42968.88</f>
        <v>42968.88</v>
      </c>
      <c r="O86" s="5">
        <f>13416.67</f>
        <v>13416.67</v>
      </c>
      <c r="P86" s="5">
        <f t="shared" si="75"/>
        <v>-29552.21</v>
      </c>
      <c r="Q86" s="5">
        <f>12914.01</f>
        <v>12914.01</v>
      </c>
      <c r="R86" s="5">
        <f>13416.67</f>
        <v>13416.67</v>
      </c>
      <c r="S86" s="5">
        <f t="shared" si="76"/>
        <v>502.65999999999985</v>
      </c>
      <c r="T86" s="5">
        <f>12984.38</f>
        <v>12984.38</v>
      </c>
      <c r="U86" s="5">
        <f>13416.67</f>
        <v>13416.67</v>
      </c>
      <c r="V86" s="5">
        <f t="shared" si="77"/>
        <v>432.29000000000087</v>
      </c>
      <c r="W86" s="5">
        <f>248.5</f>
        <v>248.5</v>
      </c>
      <c r="X86" s="5">
        <f>13416.67</f>
        <v>13416.67</v>
      </c>
      <c r="Y86" s="5">
        <f t="shared" si="78"/>
        <v>13168.17</v>
      </c>
      <c r="Z86" s="4"/>
      <c r="AA86" s="5">
        <f>13416.67</f>
        <v>13416.67</v>
      </c>
      <c r="AB86" s="5">
        <f t="shared" si="79"/>
        <v>13416.67</v>
      </c>
      <c r="AC86" s="4"/>
      <c r="AD86" s="5">
        <f>13416.67</f>
        <v>13416.67</v>
      </c>
      <c r="AE86" s="5">
        <f t="shared" si="80"/>
        <v>13416.67</v>
      </c>
      <c r="AF86" s="4"/>
      <c r="AG86" s="5">
        <f>13416.67</f>
        <v>13416.67</v>
      </c>
      <c r="AH86" s="5">
        <f t="shared" si="81"/>
        <v>13416.67</v>
      </c>
      <c r="AI86" s="4"/>
      <c r="AJ86" s="5">
        <f>13416.63</f>
        <v>13416.63</v>
      </c>
      <c r="AK86" s="5">
        <f t="shared" si="82"/>
        <v>13416.63</v>
      </c>
      <c r="AL86" s="5">
        <f t="shared" si="83"/>
        <v>124715.79999999999</v>
      </c>
      <c r="AM86" s="12">
        <f t="shared" si="84"/>
        <v>161000.00000000003</v>
      </c>
      <c r="AN86" s="5">
        <v>112500</v>
      </c>
    </row>
    <row r="87" spans="1:46" x14ac:dyDescent="0.45">
      <c r="A87" s="3" t="s">
        <v>94</v>
      </c>
      <c r="B87" s="5">
        <f>995.63</f>
        <v>995.63</v>
      </c>
      <c r="C87" s="5">
        <f>3875</f>
        <v>3875</v>
      </c>
      <c r="D87" s="5">
        <f t="shared" si="71"/>
        <v>2879.37</v>
      </c>
      <c r="E87" s="5">
        <f>995.63</f>
        <v>995.63</v>
      </c>
      <c r="F87" s="5">
        <f>3875</f>
        <v>3875</v>
      </c>
      <c r="G87" s="5">
        <f t="shared" si="72"/>
        <v>2879.37</v>
      </c>
      <c r="H87" s="5">
        <f>995.64</f>
        <v>995.64</v>
      </c>
      <c r="I87" s="5">
        <f>3875</f>
        <v>3875</v>
      </c>
      <c r="J87" s="5">
        <f t="shared" si="73"/>
        <v>2879.36</v>
      </c>
      <c r="K87" s="5">
        <f>1190.46</f>
        <v>1190.46</v>
      </c>
      <c r="L87" s="5">
        <f>3875</f>
        <v>3875</v>
      </c>
      <c r="M87" s="5">
        <f t="shared" si="74"/>
        <v>2684.54</v>
      </c>
      <c r="N87" s="5">
        <f>4461.81</f>
        <v>4461.8100000000004</v>
      </c>
      <c r="O87" s="5">
        <f>3875</f>
        <v>3875</v>
      </c>
      <c r="P87" s="5">
        <f t="shared" si="75"/>
        <v>-586.8100000000004</v>
      </c>
      <c r="Q87" s="5">
        <f>858.1</f>
        <v>858.1</v>
      </c>
      <c r="R87" s="5">
        <f>3875</f>
        <v>3875</v>
      </c>
      <c r="S87" s="5">
        <f t="shared" si="76"/>
        <v>3016.9</v>
      </c>
      <c r="T87" s="5">
        <f>1040.61</f>
        <v>1040.6099999999999</v>
      </c>
      <c r="U87" s="5">
        <f>3875</f>
        <v>3875</v>
      </c>
      <c r="V87" s="5">
        <f t="shared" si="77"/>
        <v>2834.3900000000003</v>
      </c>
      <c r="W87" s="4"/>
      <c r="X87" s="5">
        <f>3875</f>
        <v>3875</v>
      </c>
      <c r="Y87" s="5">
        <f t="shared" si="78"/>
        <v>3875</v>
      </c>
      <c r="Z87" s="4"/>
      <c r="AA87" s="5">
        <f>3875</f>
        <v>3875</v>
      </c>
      <c r="AB87" s="5">
        <f t="shared" si="79"/>
        <v>3875</v>
      </c>
      <c r="AC87" s="4"/>
      <c r="AD87" s="5">
        <f>3875</f>
        <v>3875</v>
      </c>
      <c r="AE87" s="5">
        <f t="shared" si="80"/>
        <v>3875</v>
      </c>
      <c r="AF87" s="4"/>
      <c r="AG87" s="5">
        <f>3875</f>
        <v>3875</v>
      </c>
      <c r="AH87" s="5">
        <f t="shared" si="81"/>
        <v>3875</v>
      </c>
      <c r="AI87" s="4"/>
      <c r="AJ87" s="5">
        <f>3875</f>
        <v>3875</v>
      </c>
      <c r="AK87" s="5">
        <f t="shared" si="82"/>
        <v>3875</v>
      </c>
      <c r="AL87" s="5">
        <f t="shared" si="83"/>
        <v>10537.880000000003</v>
      </c>
      <c r="AM87" s="12">
        <f t="shared" si="84"/>
        <v>46500</v>
      </c>
      <c r="AN87" s="5">
        <v>12000</v>
      </c>
    </row>
    <row r="88" spans="1:46" x14ac:dyDescent="0.45">
      <c r="A88" s="3" t="s">
        <v>95</v>
      </c>
      <c r="B88" s="5">
        <f>2520.14</f>
        <v>2520.14</v>
      </c>
      <c r="C88" s="5">
        <f>2791.67</f>
        <v>2791.67</v>
      </c>
      <c r="D88" s="5">
        <f t="shared" si="71"/>
        <v>271.5300000000002</v>
      </c>
      <c r="E88" s="5">
        <f>2514.75</f>
        <v>2514.75</v>
      </c>
      <c r="F88" s="5">
        <f>2791.67</f>
        <v>2791.67</v>
      </c>
      <c r="G88" s="5">
        <f t="shared" si="72"/>
        <v>276.92000000000007</v>
      </c>
      <c r="H88" s="5">
        <f>2503.93</f>
        <v>2503.9299999999998</v>
      </c>
      <c r="I88" s="5">
        <f>2791.67</f>
        <v>2791.67</v>
      </c>
      <c r="J88" s="5">
        <f t="shared" si="73"/>
        <v>287.74000000000024</v>
      </c>
      <c r="K88" s="5">
        <f>2408.31</f>
        <v>2408.31</v>
      </c>
      <c r="L88" s="5">
        <f>2791.67</f>
        <v>2791.67</v>
      </c>
      <c r="M88" s="5">
        <f t="shared" si="74"/>
        <v>383.36000000000013</v>
      </c>
      <c r="N88" s="5">
        <f>2538.81</f>
        <v>2538.81</v>
      </c>
      <c r="O88" s="5">
        <f>2791.67</f>
        <v>2791.67</v>
      </c>
      <c r="P88" s="5">
        <f t="shared" si="75"/>
        <v>252.86000000000013</v>
      </c>
      <c r="Q88" s="5">
        <f>2492.78</f>
        <v>2492.7800000000002</v>
      </c>
      <c r="R88" s="5">
        <f>2791.67</f>
        <v>2791.67</v>
      </c>
      <c r="S88" s="5">
        <f t="shared" si="76"/>
        <v>298.88999999999987</v>
      </c>
      <c r="T88" s="5">
        <f>2512.28</f>
        <v>2512.2800000000002</v>
      </c>
      <c r="U88" s="5">
        <f>2791.67</f>
        <v>2791.67</v>
      </c>
      <c r="V88" s="5">
        <f t="shared" si="77"/>
        <v>279.38999999999987</v>
      </c>
      <c r="W88" s="5">
        <f>2474.91</f>
        <v>2474.91</v>
      </c>
      <c r="X88" s="5">
        <f>2791.67</f>
        <v>2791.67</v>
      </c>
      <c r="Y88" s="5">
        <f t="shared" si="78"/>
        <v>316.76000000000022</v>
      </c>
      <c r="Z88" s="4"/>
      <c r="AA88" s="5">
        <f>2791.67</f>
        <v>2791.67</v>
      </c>
      <c r="AB88" s="5">
        <f t="shared" si="79"/>
        <v>2791.67</v>
      </c>
      <c r="AC88" s="4"/>
      <c r="AD88" s="5">
        <f>2791.67</f>
        <v>2791.67</v>
      </c>
      <c r="AE88" s="5">
        <f t="shared" si="80"/>
        <v>2791.67</v>
      </c>
      <c r="AF88" s="4"/>
      <c r="AG88" s="5">
        <f>2791.67</f>
        <v>2791.67</v>
      </c>
      <c r="AH88" s="5">
        <f t="shared" si="81"/>
        <v>2791.67</v>
      </c>
      <c r="AI88" s="4"/>
      <c r="AJ88" s="5">
        <f>2791.63</f>
        <v>2791.63</v>
      </c>
      <c r="AK88" s="5">
        <f t="shared" si="82"/>
        <v>2791.63</v>
      </c>
      <c r="AL88" s="5">
        <f t="shared" si="83"/>
        <v>19965.91</v>
      </c>
      <c r="AM88" s="12">
        <f t="shared" si="84"/>
        <v>33499.999999999993</v>
      </c>
      <c r="AN88" s="5">
        <v>29200</v>
      </c>
    </row>
    <row r="89" spans="1:46" x14ac:dyDescent="0.45">
      <c r="A89" s="3" t="s">
        <v>96</v>
      </c>
      <c r="B89" s="5">
        <f>69.31</f>
        <v>69.31</v>
      </c>
      <c r="C89" s="5">
        <f>100</f>
        <v>100</v>
      </c>
      <c r="D89" s="5">
        <f t="shared" si="71"/>
        <v>30.689999999999998</v>
      </c>
      <c r="E89" s="5">
        <f>314.5</f>
        <v>314.5</v>
      </c>
      <c r="F89" s="5">
        <f>100</f>
        <v>100</v>
      </c>
      <c r="G89" s="5">
        <f t="shared" si="72"/>
        <v>-214.5</v>
      </c>
      <c r="H89" s="5">
        <f>231.16</f>
        <v>231.16</v>
      </c>
      <c r="I89" s="5">
        <f>100</f>
        <v>100</v>
      </c>
      <c r="J89" s="5">
        <f t="shared" si="73"/>
        <v>-131.16</v>
      </c>
      <c r="K89" s="5">
        <f>146.92</f>
        <v>146.91999999999999</v>
      </c>
      <c r="L89" s="5">
        <f>100</f>
        <v>100</v>
      </c>
      <c r="M89" s="5">
        <f t="shared" si="74"/>
        <v>-46.919999999999987</v>
      </c>
      <c r="N89" s="5">
        <f>65.18</f>
        <v>65.180000000000007</v>
      </c>
      <c r="O89" s="5">
        <f>100</f>
        <v>100</v>
      </c>
      <c r="P89" s="5">
        <f t="shared" si="75"/>
        <v>34.819999999999993</v>
      </c>
      <c r="Q89" s="5">
        <f>452.77</f>
        <v>452.77</v>
      </c>
      <c r="R89" s="5">
        <f>100</f>
        <v>100</v>
      </c>
      <c r="S89" s="5">
        <f t="shared" si="76"/>
        <v>-352.77</v>
      </c>
      <c r="T89" s="5">
        <f>161.56</f>
        <v>161.56</v>
      </c>
      <c r="U89" s="5">
        <f>100</f>
        <v>100</v>
      </c>
      <c r="V89" s="5">
        <f t="shared" si="77"/>
        <v>-61.56</v>
      </c>
      <c r="W89" s="4"/>
      <c r="X89" s="5">
        <f>100</f>
        <v>100</v>
      </c>
      <c r="Y89" s="5">
        <f t="shared" si="78"/>
        <v>100</v>
      </c>
      <c r="Z89" s="4"/>
      <c r="AA89" s="5">
        <f>100</f>
        <v>100</v>
      </c>
      <c r="AB89" s="5">
        <f t="shared" si="79"/>
        <v>100</v>
      </c>
      <c r="AC89" s="4"/>
      <c r="AD89" s="5">
        <f>100</f>
        <v>100</v>
      </c>
      <c r="AE89" s="5">
        <f t="shared" si="80"/>
        <v>100</v>
      </c>
      <c r="AF89" s="4"/>
      <c r="AG89" s="5">
        <f>100</f>
        <v>100</v>
      </c>
      <c r="AH89" s="5">
        <f t="shared" si="81"/>
        <v>100</v>
      </c>
      <c r="AI89" s="4"/>
      <c r="AJ89" s="5">
        <f>100</f>
        <v>100</v>
      </c>
      <c r="AK89" s="5">
        <f t="shared" si="82"/>
        <v>100</v>
      </c>
      <c r="AL89" s="5">
        <f t="shared" si="83"/>
        <v>1441.3999999999999</v>
      </c>
      <c r="AM89" s="12">
        <f t="shared" si="84"/>
        <v>1200</v>
      </c>
      <c r="AN89" s="5">
        <v>400</v>
      </c>
    </row>
    <row r="90" spans="1:46" x14ac:dyDescent="0.45">
      <c r="A90" s="3" t="s">
        <v>97</v>
      </c>
      <c r="B90" s="4"/>
      <c r="C90" s="4"/>
      <c r="D90" s="5">
        <f t="shared" si="71"/>
        <v>0</v>
      </c>
      <c r="E90" s="4"/>
      <c r="F90" s="4"/>
      <c r="G90" s="5">
        <f t="shared" si="72"/>
        <v>0</v>
      </c>
      <c r="H90" s="4"/>
      <c r="I90" s="4"/>
      <c r="J90" s="5">
        <f t="shared" si="73"/>
        <v>0</v>
      </c>
      <c r="K90" s="4"/>
      <c r="L90" s="4"/>
      <c r="M90" s="5">
        <f t="shared" si="74"/>
        <v>0</v>
      </c>
      <c r="N90" s="4"/>
      <c r="O90" s="4"/>
      <c r="P90" s="5">
        <f t="shared" si="75"/>
        <v>0</v>
      </c>
      <c r="Q90" s="4"/>
      <c r="R90" s="4"/>
      <c r="S90" s="5">
        <f t="shared" si="76"/>
        <v>0</v>
      </c>
      <c r="T90" s="4"/>
      <c r="U90" s="4"/>
      <c r="V90" s="5">
        <f t="shared" si="77"/>
        <v>0</v>
      </c>
      <c r="W90" s="4"/>
      <c r="X90" s="4"/>
      <c r="Y90" s="5">
        <f t="shared" si="78"/>
        <v>0</v>
      </c>
      <c r="Z90" s="4"/>
      <c r="AA90" s="4"/>
      <c r="AB90" s="5">
        <f t="shared" si="79"/>
        <v>0</v>
      </c>
      <c r="AC90" s="4"/>
      <c r="AD90" s="4"/>
      <c r="AE90" s="5">
        <f t="shared" si="80"/>
        <v>0</v>
      </c>
      <c r="AF90" s="4"/>
      <c r="AG90" s="4"/>
      <c r="AH90" s="5">
        <f t="shared" si="81"/>
        <v>0</v>
      </c>
      <c r="AI90" s="4"/>
      <c r="AJ90" s="4"/>
      <c r="AK90" s="5">
        <f t="shared" si="82"/>
        <v>0</v>
      </c>
      <c r="AL90" s="5">
        <f t="shared" si="83"/>
        <v>0</v>
      </c>
      <c r="AM90" s="12">
        <f t="shared" si="84"/>
        <v>0</v>
      </c>
      <c r="AN90" s="5">
        <v>960</v>
      </c>
    </row>
    <row r="91" spans="1:46" x14ac:dyDescent="0.45">
      <c r="A91" s="3" t="s">
        <v>98</v>
      </c>
      <c r="B91" s="5">
        <f>214.52</f>
        <v>214.52</v>
      </c>
      <c r="C91" s="4"/>
      <c r="D91" s="5">
        <f t="shared" si="71"/>
        <v>-214.52</v>
      </c>
      <c r="E91" s="5">
        <f>151.22</f>
        <v>151.22</v>
      </c>
      <c r="F91" s="4"/>
      <c r="G91" s="5">
        <f t="shared" si="72"/>
        <v>-151.22</v>
      </c>
      <c r="H91" s="5">
        <f>264.54</f>
        <v>264.54000000000002</v>
      </c>
      <c r="I91" s="4"/>
      <c r="J91" s="5">
        <f t="shared" si="73"/>
        <v>-264.54000000000002</v>
      </c>
      <c r="K91" s="5">
        <f>287.99</f>
        <v>287.99</v>
      </c>
      <c r="L91" s="4"/>
      <c r="M91" s="5">
        <f t="shared" si="74"/>
        <v>-287.99</v>
      </c>
      <c r="N91" s="5">
        <f>539.74</f>
        <v>539.74</v>
      </c>
      <c r="O91" s="4"/>
      <c r="P91" s="5">
        <f t="shared" si="75"/>
        <v>-539.74</v>
      </c>
      <c r="Q91" s="4"/>
      <c r="R91" s="4"/>
      <c r="S91" s="5">
        <f t="shared" si="76"/>
        <v>0</v>
      </c>
      <c r="T91" s="5">
        <f>250.95</f>
        <v>250.95</v>
      </c>
      <c r="U91" s="4"/>
      <c r="V91" s="5">
        <f t="shared" si="77"/>
        <v>-250.95</v>
      </c>
      <c r="W91" s="5">
        <f>166.58</f>
        <v>166.58</v>
      </c>
      <c r="X91" s="4"/>
      <c r="Y91" s="5">
        <f t="shared" si="78"/>
        <v>-166.58</v>
      </c>
      <c r="Z91" s="4"/>
      <c r="AA91" s="4"/>
      <c r="AB91" s="5">
        <f t="shared" si="79"/>
        <v>0</v>
      </c>
      <c r="AC91" s="4"/>
      <c r="AD91" s="4"/>
      <c r="AE91" s="5">
        <f t="shared" si="80"/>
        <v>0</v>
      </c>
      <c r="AF91" s="4"/>
      <c r="AG91" s="4"/>
      <c r="AH91" s="5">
        <f t="shared" si="81"/>
        <v>0</v>
      </c>
      <c r="AI91" s="4"/>
      <c r="AJ91" s="4"/>
      <c r="AK91" s="5">
        <f t="shared" si="82"/>
        <v>0</v>
      </c>
      <c r="AL91" s="5">
        <f t="shared" si="83"/>
        <v>1875.54</v>
      </c>
      <c r="AM91" s="12">
        <f t="shared" si="84"/>
        <v>0</v>
      </c>
      <c r="AN91" s="5">
        <v>2340</v>
      </c>
    </row>
    <row r="92" spans="1:46" x14ac:dyDescent="0.45">
      <c r="A92" s="3" t="s">
        <v>99</v>
      </c>
      <c r="B92" s="5">
        <f>10000</f>
        <v>10000</v>
      </c>
      <c r="C92" s="4"/>
      <c r="D92" s="5">
        <f t="shared" si="71"/>
        <v>-10000</v>
      </c>
      <c r="E92" s="4"/>
      <c r="F92" s="4"/>
      <c r="G92" s="5">
        <f t="shared" si="72"/>
        <v>0</v>
      </c>
      <c r="H92" s="5">
        <f>10000</f>
        <v>10000</v>
      </c>
      <c r="I92" s="4"/>
      <c r="J92" s="5">
        <f t="shared" si="73"/>
        <v>-10000</v>
      </c>
      <c r="K92" s="4"/>
      <c r="L92" s="4"/>
      <c r="M92" s="5">
        <f t="shared" si="74"/>
        <v>0</v>
      </c>
      <c r="N92" s="4"/>
      <c r="O92" s="4"/>
      <c r="P92" s="5">
        <f t="shared" si="75"/>
        <v>0</v>
      </c>
      <c r="Q92" s="4"/>
      <c r="R92" s="4"/>
      <c r="S92" s="5">
        <f t="shared" si="76"/>
        <v>0</v>
      </c>
      <c r="T92" s="4"/>
      <c r="U92" s="4"/>
      <c r="V92" s="5">
        <f t="shared" si="77"/>
        <v>0</v>
      </c>
      <c r="W92" s="4"/>
      <c r="X92" s="4"/>
      <c r="Y92" s="5">
        <f t="shared" si="78"/>
        <v>0</v>
      </c>
      <c r="Z92" s="4"/>
      <c r="AA92" s="4"/>
      <c r="AB92" s="5">
        <f t="shared" si="79"/>
        <v>0</v>
      </c>
      <c r="AC92" s="4"/>
      <c r="AD92" s="4"/>
      <c r="AE92" s="5">
        <f t="shared" si="80"/>
        <v>0</v>
      </c>
      <c r="AF92" s="4"/>
      <c r="AG92" s="4"/>
      <c r="AH92" s="5">
        <f t="shared" si="81"/>
        <v>0</v>
      </c>
      <c r="AI92" s="4"/>
      <c r="AJ92" s="4"/>
      <c r="AK92" s="5">
        <f t="shared" si="82"/>
        <v>0</v>
      </c>
      <c r="AL92" s="5">
        <f t="shared" si="83"/>
        <v>20000</v>
      </c>
      <c r="AM92" s="12">
        <f t="shared" si="84"/>
        <v>0</v>
      </c>
      <c r="AN92" s="5">
        <v>10000</v>
      </c>
    </row>
    <row r="93" spans="1:46" x14ac:dyDescent="0.45">
      <c r="A93" s="3" t="s">
        <v>100</v>
      </c>
      <c r="B93" s="4"/>
      <c r="C93" s="4"/>
      <c r="D93" s="5">
        <f t="shared" si="71"/>
        <v>0</v>
      </c>
      <c r="E93" s="4"/>
      <c r="F93" s="4"/>
      <c r="G93" s="5">
        <f t="shared" si="72"/>
        <v>0</v>
      </c>
      <c r="H93" s="4"/>
      <c r="I93" s="4"/>
      <c r="J93" s="5">
        <f t="shared" si="73"/>
        <v>0</v>
      </c>
      <c r="K93" s="4"/>
      <c r="L93" s="4"/>
      <c r="M93" s="5">
        <f t="shared" si="74"/>
        <v>0</v>
      </c>
      <c r="N93" s="4"/>
      <c r="O93" s="4"/>
      <c r="P93" s="5">
        <f t="shared" si="75"/>
        <v>0</v>
      </c>
      <c r="Q93" s="4"/>
      <c r="R93" s="4"/>
      <c r="S93" s="5">
        <f t="shared" si="76"/>
        <v>0</v>
      </c>
      <c r="T93" s="4"/>
      <c r="U93" s="4"/>
      <c r="V93" s="5">
        <f t="shared" si="77"/>
        <v>0</v>
      </c>
      <c r="W93" s="4"/>
      <c r="X93" s="4"/>
      <c r="Y93" s="5">
        <f t="shared" si="78"/>
        <v>0</v>
      </c>
      <c r="Z93" s="4"/>
      <c r="AA93" s="4"/>
      <c r="AB93" s="5">
        <f t="shared" si="79"/>
        <v>0</v>
      </c>
      <c r="AC93" s="4"/>
      <c r="AD93" s="4"/>
      <c r="AE93" s="5">
        <f t="shared" si="80"/>
        <v>0</v>
      </c>
      <c r="AF93" s="4"/>
      <c r="AG93" s="4"/>
      <c r="AH93" s="5">
        <f t="shared" si="81"/>
        <v>0</v>
      </c>
      <c r="AI93" s="4"/>
      <c r="AJ93" s="4"/>
      <c r="AK93" s="5">
        <f t="shared" si="82"/>
        <v>0</v>
      </c>
      <c r="AL93" s="5">
        <f t="shared" si="83"/>
        <v>0</v>
      </c>
      <c r="AM93" s="12">
        <f t="shared" si="84"/>
        <v>0</v>
      </c>
      <c r="AN93" s="5"/>
    </row>
    <row r="94" spans="1:46" x14ac:dyDescent="0.45">
      <c r="A94" s="3" t="s">
        <v>101</v>
      </c>
      <c r="B94" s="4"/>
      <c r="C94" s="5">
        <f>375</f>
        <v>375</v>
      </c>
      <c r="D94" s="5">
        <f t="shared" si="71"/>
        <v>375</v>
      </c>
      <c r="E94" s="5">
        <f>-305</f>
        <v>-305</v>
      </c>
      <c r="F94" s="5">
        <f>375</f>
        <v>375</v>
      </c>
      <c r="G94" s="5">
        <f t="shared" si="72"/>
        <v>680</v>
      </c>
      <c r="H94" s="4"/>
      <c r="I94" s="5">
        <f>375</f>
        <v>375</v>
      </c>
      <c r="J94" s="5">
        <f t="shared" si="73"/>
        <v>375</v>
      </c>
      <c r="K94" s="4"/>
      <c r="L94" s="5">
        <f>375</f>
        <v>375</v>
      </c>
      <c r="M94" s="5">
        <f t="shared" si="74"/>
        <v>375</v>
      </c>
      <c r="N94" s="5">
        <f>-605</f>
        <v>-605</v>
      </c>
      <c r="O94" s="5">
        <f>375</f>
        <v>375</v>
      </c>
      <c r="P94" s="5">
        <f t="shared" si="75"/>
        <v>980</v>
      </c>
      <c r="Q94" s="4"/>
      <c r="R94" s="5">
        <f>375</f>
        <v>375</v>
      </c>
      <c r="S94" s="5">
        <f t="shared" si="76"/>
        <v>375</v>
      </c>
      <c r="T94" s="5">
        <f>-636</f>
        <v>-636</v>
      </c>
      <c r="U94" s="5">
        <f>375</f>
        <v>375</v>
      </c>
      <c r="V94" s="5">
        <f t="shared" si="77"/>
        <v>1011</v>
      </c>
      <c r="W94" s="5">
        <f>-278</f>
        <v>-278</v>
      </c>
      <c r="X94" s="5">
        <f>375</f>
        <v>375</v>
      </c>
      <c r="Y94" s="5">
        <f t="shared" si="78"/>
        <v>653</v>
      </c>
      <c r="Z94" s="4"/>
      <c r="AA94" s="5">
        <f>375</f>
        <v>375</v>
      </c>
      <c r="AB94" s="5">
        <f t="shared" si="79"/>
        <v>375</v>
      </c>
      <c r="AC94" s="4"/>
      <c r="AD94" s="5">
        <f>375</f>
        <v>375</v>
      </c>
      <c r="AE94" s="5">
        <f t="shared" si="80"/>
        <v>375</v>
      </c>
      <c r="AF94" s="4"/>
      <c r="AG94" s="5">
        <f>375</f>
        <v>375</v>
      </c>
      <c r="AH94" s="5">
        <f t="shared" si="81"/>
        <v>375</v>
      </c>
      <c r="AI94" s="4"/>
      <c r="AJ94" s="5">
        <f>375</f>
        <v>375</v>
      </c>
      <c r="AK94" s="5">
        <f t="shared" si="82"/>
        <v>375</v>
      </c>
      <c r="AL94" s="5">
        <f t="shared" si="83"/>
        <v>-1824</v>
      </c>
      <c r="AM94" s="12">
        <f t="shared" si="84"/>
        <v>4500</v>
      </c>
      <c r="AN94" s="5"/>
    </row>
    <row r="95" spans="1:46" x14ac:dyDescent="0.45">
      <c r="A95" s="3" t="s">
        <v>102</v>
      </c>
      <c r="B95" s="5">
        <f>69.55</f>
        <v>69.55</v>
      </c>
      <c r="C95" s="4"/>
      <c r="D95" s="5">
        <f t="shared" si="71"/>
        <v>-69.55</v>
      </c>
      <c r="E95" s="4"/>
      <c r="F95" s="4"/>
      <c r="G95" s="5">
        <f t="shared" si="72"/>
        <v>0</v>
      </c>
      <c r="H95" s="4"/>
      <c r="I95" s="4"/>
      <c r="J95" s="5">
        <f t="shared" si="73"/>
        <v>0</v>
      </c>
      <c r="K95" s="5">
        <f>691.82</f>
        <v>691.82</v>
      </c>
      <c r="L95" s="4"/>
      <c r="M95" s="5">
        <f t="shared" si="74"/>
        <v>-691.82</v>
      </c>
      <c r="N95" s="5">
        <f>533.14</f>
        <v>533.14</v>
      </c>
      <c r="O95" s="4"/>
      <c r="P95" s="5">
        <f t="shared" si="75"/>
        <v>-533.14</v>
      </c>
      <c r="Q95" s="5">
        <f>737.83</f>
        <v>737.83</v>
      </c>
      <c r="R95" s="4"/>
      <c r="S95" s="5">
        <f t="shared" si="76"/>
        <v>-737.83</v>
      </c>
      <c r="T95" s="5">
        <f>560.8</f>
        <v>560.79999999999995</v>
      </c>
      <c r="U95" s="4"/>
      <c r="V95" s="5">
        <f t="shared" si="77"/>
        <v>-560.79999999999995</v>
      </c>
      <c r="W95" s="5">
        <f>38.8</f>
        <v>38.799999999999997</v>
      </c>
      <c r="X95" s="4"/>
      <c r="Y95" s="5">
        <f t="shared" si="78"/>
        <v>-38.799999999999997</v>
      </c>
      <c r="Z95" s="4"/>
      <c r="AA95" s="4"/>
      <c r="AB95" s="5">
        <f t="shared" si="79"/>
        <v>0</v>
      </c>
      <c r="AC95" s="4"/>
      <c r="AD95" s="4"/>
      <c r="AE95" s="5">
        <f t="shared" si="80"/>
        <v>0</v>
      </c>
      <c r="AF95" s="4"/>
      <c r="AG95" s="4"/>
      <c r="AH95" s="5">
        <f t="shared" si="81"/>
        <v>0</v>
      </c>
      <c r="AI95" s="4"/>
      <c r="AJ95" s="4"/>
      <c r="AK95" s="5">
        <f t="shared" si="82"/>
        <v>0</v>
      </c>
      <c r="AL95" s="5">
        <f t="shared" si="83"/>
        <v>2631.9400000000005</v>
      </c>
      <c r="AM95" s="12">
        <f t="shared" si="84"/>
        <v>0</v>
      </c>
      <c r="AN95" s="5">
        <v>4500</v>
      </c>
    </row>
    <row r="96" spans="1:46" x14ac:dyDescent="0.45">
      <c r="A96" s="3" t="s">
        <v>103</v>
      </c>
      <c r="B96" s="4"/>
      <c r="C96" s="4"/>
      <c r="D96" s="5">
        <f t="shared" si="71"/>
        <v>0</v>
      </c>
      <c r="E96" s="4"/>
      <c r="F96" s="4"/>
      <c r="G96" s="5">
        <f t="shared" si="72"/>
        <v>0</v>
      </c>
      <c r="H96" s="4"/>
      <c r="I96" s="4"/>
      <c r="J96" s="5">
        <f t="shared" si="73"/>
        <v>0</v>
      </c>
      <c r="K96" s="4"/>
      <c r="L96" s="4"/>
      <c r="M96" s="5">
        <f t="shared" si="74"/>
        <v>0</v>
      </c>
      <c r="N96" s="4"/>
      <c r="O96" s="4"/>
      <c r="P96" s="5">
        <f t="shared" si="75"/>
        <v>0</v>
      </c>
      <c r="Q96" s="5">
        <f>20</f>
        <v>20</v>
      </c>
      <c r="R96" s="4"/>
      <c r="S96" s="5">
        <f t="shared" si="76"/>
        <v>-20</v>
      </c>
      <c r="T96" s="4"/>
      <c r="U96" s="4"/>
      <c r="V96" s="5">
        <f t="shared" si="77"/>
        <v>0</v>
      </c>
      <c r="W96" s="4"/>
      <c r="X96" s="4"/>
      <c r="Y96" s="5">
        <f t="shared" si="78"/>
        <v>0</v>
      </c>
      <c r="Z96" s="4"/>
      <c r="AA96" s="4"/>
      <c r="AB96" s="5">
        <f t="shared" si="79"/>
        <v>0</v>
      </c>
      <c r="AC96" s="4"/>
      <c r="AD96" s="4"/>
      <c r="AE96" s="5">
        <f t="shared" si="80"/>
        <v>0</v>
      </c>
      <c r="AF96" s="4"/>
      <c r="AG96" s="4"/>
      <c r="AH96" s="5">
        <f t="shared" si="81"/>
        <v>0</v>
      </c>
      <c r="AI96" s="4"/>
      <c r="AJ96" s="4"/>
      <c r="AK96" s="5">
        <f t="shared" si="82"/>
        <v>0</v>
      </c>
      <c r="AL96" s="5">
        <f t="shared" si="83"/>
        <v>20</v>
      </c>
      <c r="AM96" s="12">
        <f t="shared" si="84"/>
        <v>0</v>
      </c>
      <c r="AN96" s="5">
        <v>600</v>
      </c>
    </row>
    <row r="97" spans="1:40" x14ac:dyDescent="0.45">
      <c r="A97" s="3" t="s">
        <v>104</v>
      </c>
      <c r="B97" s="5">
        <f>59.3</f>
        <v>59.3</v>
      </c>
      <c r="C97" s="4"/>
      <c r="D97" s="5">
        <f t="shared" si="71"/>
        <v>-59.3</v>
      </c>
      <c r="E97" s="5">
        <f>161.71</f>
        <v>161.71</v>
      </c>
      <c r="F97" s="4"/>
      <c r="G97" s="5">
        <f t="shared" si="72"/>
        <v>-161.71</v>
      </c>
      <c r="H97" s="5">
        <f>181.65</f>
        <v>181.65</v>
      </c>
      <c r="I97" s="4"/>
      <c r="J97" s="5">
        <f t="shared" si="73"/>
        <v>-181.65</v>
      </c>
      <c r="K97" s="5">
        <f>194.74</f>
        <v>194.74</v>
      </c>
      <c r="L97" s="4"/>
      <c r="M97" s="5">
        <f t="shared" si="74"/>
        <v>-194.74</v>
      </c>
      <c r="N97" s="5">
        <f>30.66</f>
        <v>30.66</v>
      </c>
      <c r="O97" s="4"/>
      <c r="P97" s="5">
        <f t="shared" si="75"/>
        <v>-30.66</v>
      </c>
      <c r="Q97" s="4"/>
      <c r="R97" s="4"/>
      <c r="S97" s="5">
        <f t="shared" si="76"/>
        <v>0</v>
      </c>
      <c r="T97" s="4"/>
      <c r="U97" s="4"/>
      <c r="V97" s="5">
        <f t="shared" si="77"/>
        <v>0</v>
      </c>
      <c r="W97" s="5">
        <f>71.16</f>
        <v>71.16</v>
      </c>
      <c r="X97" s="4"/>
      <c r="Y97" s="5">
        <f t="shared" si="78"/>
        <v>-71.16</v>
      </c>
      <c r="Z97" s="4"/>
      <c r="AA97" s="4"/>
      <c r="AB97" s="5">
        <f t="shared" si="79"/>
        <v>0</v>
      </c>
      <c r="AC97" s="4"/>
      <c r="AD97" s="4"/>
      <c r="AE97" s="5">
        <f t="shared" si="80"/>
        <v>0</v>
      </c>
      <c r="AF97" s="4"/>
      <c r="AG97" s="4"/>
      <c r="AH97" s="5">
        <f t="shared" si="81"/>
        <v>0</v>
      </c>
      <c r="AI97" s="4"/>
      <c r="AJ97" s="4"/>
      <c r="AK97" s="5">
        <f t="shared" si="82"/>
        <v>0</v>
      </c>
      <c r="AL97" s="5">
        <f t="shared" si="83"/>
        <v>699.21999999999991</v>
      </c>
      <c r="AM97" s="12">
        <f t="shared" si="84"/>
        <v>0</v>
      </c>
      <c r="AN97" s="5">
        <v>1200</v>
      </c>
    </row>
    <row r="98" spans="1:40" x14ac:dyDescent="0.45">
      <c r="A98" s="3" t="s">
        <v>105</v>
      </c>
      <c r="B98" s="6">
        <f>(((B94)+(B95))+(B96))+(B97)</f>
        <v>128.85</v>
      </c>
      <c r="C98" s="6">
        <f>(((C94)+(C95))+(C96))+(C97)</f>
        <v>375</v>
      </c>
      <c r="D98" s="6">
        <f t="shared" si="71"/>
        <v>246.15</v>
      </c>
      <c r="E98" s="6">
        <f>(((E94)+(E95))+(E96))+(E97)</f>
        <v>-143.29</v>
      </c>
      <c r="F98" s="6">
        <f>(((F94)+(F95))+(F96))+(F97)</f>
        <v>375</v>
      </c>
      <c r="G98" s="6">
        <f t="shared" si="72"/>
        <v>518.29</v>
      </c>
      <c r="H98" s="6">
        <f>(((H94)+(H95))+(H96))+(H97)</f>
        <v>181.65</v>
      </c>
      <c r="I98" s="6">
        <f>(((I94)+(I95))+(I96))+(I97)</f>
        <v>375</v>
      </c>
      <c r="J98" s="6">
        <f t="shared" si="73"/>
        <v>193.35</v>
      </c>
      <c r="K98" s="6">
        <f>(((K94)+(K95))+(K96))+(K97)</f>
        <v>886.56000000000006</v>
      </c>
      <c r="L98" s="6">
        <f>(((L94)+(L95))+(L96))+(L97)</f>
        <v>375</v>
      </c>
      <c r="M98" s="6">
        <f t="shared" si="74"/>
        <v>-511.56000000000006</v>
      </c>
      <c r="N98" s="6">
        <f>(((N94)+(N95))+(N96))+(N97)</f>
        <v>-41.200000000000017</v>
      </c>
      <c r="O98" s="6">
        <f>(((O94)+(O95))+(O96))+(O97)</f>
        <v>375</v>
      </c>
      <c r="P98" s="6">
        <f t="shared" si="75"/>
        <v>416.20000000000005</v>
      </c>
      <c r="Q98" s="6">
        <f>(((Q94)+(Q95))+(Q96))+(Q97)</f>
        <v>757.83</v>
      </c>
      <c r="R98" s="6">
        <f>(((R94)+(R95))+(R96))+(R97)</f>
        <v>375</v>
      </c>
      <c r="S98" s="6">
        <f t="shared" si="76"/>
        <v>-382.83000000000004</v>
      </c>
      <c r="T98" s="6">
        <f>(((T94)+(T95))+(T96))+(T97)</f>
        <v>-75.200000000000045</v>
      </c>
      <c r="U98" s="6">
        <f>(((U94)+(U95))+(U96))+(U97)</f>
        <v>375</v>
      </c>
      <c r="V98" s="6">
        <f t="shared" si="77"/>
        <v>450.20000000000005</v>
      </c>
      <c r="W98" s="6">
        <f>(((W94)+(W95))+(W96))+(W97)</f>
        <v>-168.04</v>
      </c>
      <c r="X98" s="6">
        <f>(((X94)+(X95))+(X96))+(X97)</f>
        <v>375</v>
      </c>
      <c r="Y98" s="6">
        <f t="shared" si="78"/>
        <v>543.04</v>
      </c>
      <c r="Z98" s="6">
        <f>(((Z94)+(Z95))+(Z96))+(Z97)</f>
        <v>0</v>
      </c>
      <c r="AA98" s="6">
        <f>(((AA94)+(AA95))+(AA96))+(AA97)</f>
        <v>375</v>
      </c>
      <c r="AB98" s="6">
        <f t="shared" si="79"/>
        <v>375</v>
      </c>
      <c r="AC98" s="6">
        <f>(((AC94)+(AC95))+(AC96))+(AC97)</f>
        <v>0</v>
      </c>
      <c r="AD98" s="6">
        <f>(((AD94)+(AD95))+(AD96))+(AD97)</f>
        <v>375</v>
      </c>
      <c r="AE98" s="6">
        <f t="shared" si="80"/>
        <v>375</v>
      </c>
      <c r="AF98" s="6">
        <f>(((AF94)+(AF95))+(AF96))+(AF97)</f>
        <v>0</v>
      </c>
      <c r="AG98" s="6">
        <f>(((AG94)+(AG95))+(AG96))+(AG97)</f>
        <v>375</v>
      </c>
      <c r="AH98" s="6">
        <f t="shared" si="81"/>
        <v>375</v>
      </c>
      <c r="AI98" s="6">
        <f>(((AI94)+(AI95))+(AI96))+(AI97)</f>
        <v>0</v>
      </c>
      <c r="AJ98" s="6">
        <f>(((AJ94)+(AJ95))+(AJ96))+(AJ97)</f>
        <v>375</v>
      </c>
      <c r="AK98" s="6">
        <f t="shared" si="82"/>
        <v>375</v>
      </c>
      <c r="AL98" s="6">
        <f t="shared" si="83"/>
        <v>1527.16</v>
      </c>
      <c r="AM98" s="13">
        <f t="shared" si="84"/>
        <v>4500</v>
      </c>
      <c r="AN98" s="6">
        <v>197752</v>
      </c>
    </row>
    <row r="99" spans="1:40" x14ac:dyDescent="0.45">
      <c r="A99" s="3" t="s">
        <v>106</v>
      </c>
      <c r="B99" s="4"/>
      <c r="C99" s="4"/>
      <c r="D99" s="5">
        <f t="shared" si="71"/>
        <v>0</v>
      </c>
      <c r="E99" s="4"/>
      <c r="F99" s="4"/>
      <c r="G99" s="5">
        <f t="shared" si="72"/>
        <v>0</v>
      </c>
      <c r="H99" s="4"/>
      <c r="I99" s="4"/>
      <c r="J99" s="5">
        <f t="shared" si="73"/>
        <v>0</v>
      </c>
      <c r="K99" s="4"/>
      <c r="L99" s="4"/>
      <c r="M99" s="5">
        <f t="shared" si="74"/>
        <v>0</v>
      </c>
      <c r="N99" s="4"/>
      <c r="O99" s="4"/>
      <c r="P99" s="5">
        <f t="shared" si="75"/>
        <v>0</v>
      </c>
      <c r="Q99" s="4"/>
      <c r="R99" s="4"/>
      <c r="S99" s="5">
        <f t="shared" si="76"/>
        <v>0</v>
      </c>
      <c r="T99" s="4"/>
      <c r="U99" s="4"/>
      <c r="V99" s="5">
        <f t="shared" si="77"/>
        <v>0</v>
      </c>
      <c r="W99" s="4"/>
      <c r="X99" s="4"/>
      <c r="Y99" s="5">
        <f t="shared" si="78"/>
        <v>0</v>
      </c>
      <c r="Z99" s="4"/>
      <c r="AA99" s="4"/>
      <c r="AB99" s="5">
        <f t="shared" si="79"/>
        <v>0</v>
      </c>
      <c r="AC99" s="4"/>
      <c r="AD99" s="4"/>
      <c r="AE99" s="5">
        <f t="shared" si="80"/>
        <v>0</v>
      </c>
      <c r="AF99" s="4"/>
      <c r="AG99" s="4"/>
      <c r="AH99" s="5">
        <f t="shared" si="81"/>
        <v>0</v>
      </c>
      <c r="AI99" s="4"/>
      <c r="AJ99" s="4"/>
      <c r="AK99" s="5">
        <f t="shared" si="82"/>
        <v>0</v>
      </c>
      <c r="AL99" s="5">
        <f t="shared" si="83"/>
        <v>0</v>
      </c>
      <c r="AM99" s="12">
        <f t="shared" si="84"/>
        <v>0</v>
      </c>
      <c r="AN99" s="5">
        <v>1000</v>
      </c>
    </row>
    <row r="100" spans="1:40" x14ac:dyDescent="0.45">
      <c r="A100" s="3" t="s">
        <v>107</v>
      </c>
      <c r="B100" s="4"/>
      <c r="C100" s="4"/>
      <c r="D100" s="5">
        <f t="shared" si="71"/>
        <v>0</v>
      </c>
      <c r="E100" s="4"/>
      <c r="F100" s="4"/>
      <c r="G100" s="5">
        <f t="shared" si="72"/>
        <v>0</v>
      </c>
      <c r="H100" s="4"/>
      <c r="I100" s="4"/>
      <c r="J100" s="5">
        <f t="shared" si="73"/>
        <v>0</v>
      </c>
      <c r="K100" s="4"/>
      <c r="L100" s="4"/>
      <c r="M100" s="5">
        <f t="shared" si="74"/>
        <v>0</v>
      </c>
      <c r="N100" s="4"/>
      <c r="O100" s="4"/>
      <c r="P100" s="5">
        <f t="shared" si="75"/>
        <v>0</v>
      </c>
      <c r="Q100" s="4"/>
      <c r="R100" s="4"/>
      <c r="S100" s="5">
        <f t="shared" si="76"/>
        <v>0</v>
      </c>
      <c r="T100" s="4"/>
      <c r="U100" s="4"/>
      <c r="V100" s="5">
        <f t="shared" si="77"/>
        <v>0</v>
      </c>
      <c r="W100" s="4"/>
      <c r="X100" s="4"/>
      <c r="Y100" s="5">
        <f t="shared" si="78"/>
        <v>0</v>
      </c>
      <c r="Z100" s="4"/>
      <c r="AA100" s="4"/>
      <c r="AB100" s="5">
        <f t="shared" si="79"/>
        <v>0</v>
      </c>
      <c r="AC100" s="4"/>
      <c r="AD100" s="4"/>
      <c r="AE100" s="5">
        <f t="shared" si="80"/>
        <v>0</v>
      </c>
      <c r="AF100" s="4"/>
      <c r="AG100" s="4"/>
      <c r="AH100" s="5">
        <f t="shared" si="81"/>
        <v>0</v>
      </c>
      <c r="AI100" s="4"/>
      <c r="AJ100" s="4"/>
      <c r="AK100" s="5">
        <f t="shared" si="82"/>
        <v>0</v>
      </c>
      <c r="AL100" s="5">
        <f t="shared" si="83"/>
        <v>0</v>
      </c>
      <c r="AM100" s="12">
        <f t="shared" si="84"/>
        <v>0</v>
      </c>
      <c r="AN100" s="5">
        <v>750</v>
      </c>
    </row>
    <row r="101" spans="1:40" x14ac:dyDescent="0.45">
      <c r="A101" s="3" t="s">
        <v>108</v>
      </c>
      <c r="B101" s="4"/>
      <c r="C101" s="5">
        <f>2058.33</f>
        <v>2058.33</v>
      </c>
      <c r="D101" s="5">
        <f t="shared" si="71"/>
        <v>2058.33</v>
      </c>
      <c r="E101" s="4"/>
      <c r="F101" s="5">
        <f>2058.33</f>
        <v>2058.33</v>
      </c>
      <c r="G101" s="5">
        <f t="shared" si="72"/>
        <v>2058.33</v>
      </c>
      <c r="H101" s="4"/>
      <c r="I101" s="5">
        <f>2058.33</f>
        <v>2058.33</v>
      </c>
      <c r="J101" s="5">
        <f t="shared" si="73"/>
        <v>2058.33</v>
      </c>
      <c r="K101" s="4"/>
      <c r="L101" s="5">
        <f>2058.33</f>
        <v>2058.33</v>
      </c>
      <c r="M101" s="5">
        <f t="shared" si="74"/>
        <v>2058.33</v>
      </c>
      <c r="N101" s="4"/>
      <c r="O101" s="5">
        <f>2058.33</f>
        <v>2058.33</v>
      </c>
      <c r="P101" s="5">
        <f t="shared" si="75"/>
        <v>2058.33</v>
      </c>
      <c r="Q101" s="4"/>
      <c r="R101" s="5">
        <f>2058.33</f>
        <v>2058.33</v>
      </c>
      <c r="S101" s="5">
        <f t="shared" si="76"/>
        <v>2058.33</v>
      </c>
      <c r="T101" s="4"/>
      <c r="U101" s="5">
        <f>2058.33</f>
        <v>2058.33</v>
      </c>
      <c r="V101" s="5">
        <f t="shared" si="77"/>
        <v>2058.33</v>
      </c>
      <c r="W101" s="4"/>
      <c r="X101" s="5">
        <f>2058.33</f>
        <v>2058.33</v>
      </c>
      <c r="Y101" s="5">
        <f t="shared" si="78"/>
        <v>2058.33</v>
      </c>
      <c r="Z101" s="4"/>
      <c r="AA101" s="5">
        <f>2058.33</f>
        <v>2058.33</v>
      </c>
      <c r="AB101" s="5">
        <f t="shared" si="79"/>
        <v>2058.33</v>
      </c>
      <c r="AC101" s="4"/>
      <c r="AD101" s="5">
        <f>2058.33</f>
        <v>2058.33</v>
      </c>
      <c r="AE101" s="5">
        <f t="shared" si="80"/>
        <v>2058.33</v>
      </c>
      <c r="AF101" s="4"/>
      <c r="AG101" s="5">
        <f>2058.33</f>
        <v>2058.33</v>
      </c>
      <c r="AH101" s="5">
        <f t="shared" si="81"/>
        <v>2058.33</v>
      </c>
      <c r="AI101" s="4"/>
      <c r="AJ101" s="5">
        <f>2058.37</f>
        <v>2058.37</v>
      </c>
      <c r="AK101" s="5">
        <f t="shared" si="82"/>
        <v>2058.37</v>
      </c>
      <c r="AL101" s="5">
        <f t="shared" si="83"/>
        <v>0</v>
      </c>
      <c r="AM101" s="12">
        <f t="shared" si="84"/>
        <v>24700.000000000004</v>
      </c>
      <c r="AN101" s="5">
        <v>24700</v>
      </c>
    </row>
    <row r="102" spans="1:40" x14ac:dyDescent="0.45">
      <c r="A102" s="3" t="s">
        <v>109</v>
      </c>
      <c r="B102" s="4"/>
      <c r="C102" s="5">
        <f>15000</f>
        <v>15000</v>
      </c>
      <c r="D102" s="5">
        <f t="shared" si="71"/>
        <v>15000</v>
      </c>
      <c r="E102" s="4"/>
      <c r="F102" s="5">
        <f>15000</f>
        <v>15000</v>
      </c>
      <c r="G102" s="5">
        <f t="shared" si="72"/>
        <v>15000</v>
      </c>
      <c r="H102" s="4"/>
      <c r="I102" s="5">
        <f>15000</f>
        <v>15000</v>
      </c>
      <c r="J102" s="5">
        <f t="shared" si="73"/>
        <v>15000</v>
      </c>
      <c r="K102" s="4"/>
      <c r="L102" s="5">
        <f>15000</f>
        <v>15000</v>
      </c>
      <c r="M102" s="5">
        <f t="shared" si="74"/>
        <v>15000</v>
      </c>
      <c r="N102" s="5">
        <f>55.57</f>
        <v>55.57</v>
      </c>
      <c r="O102" s="5">
        <f>15000</f>
        <v>15000</v>
      </c>
      <c r="P102" s="5">
        <f t="shared" si="75"/>
        <v>14944.43</v>
      </c>
      <c r="Q102" s="4"/>
      <c r="R102" s="5">
        <f>15000</f>
        <v>15000</v>
      </c>
      <c r="S102" s="5">
        <f t="shared" si="76"/>
        <v>15000</v>
      </c>
      <c r="T102" s="5">
        <f>123.42</f>
        <v>123.42</v>
      </c>
      <c r="U102" s="5">
        <f>15000</f>
        <v>15000</v>
      </c>
      <c r="V102" s="5">
        <f t="shared" si="77"/>
        <v>14876.58</v>
      </c>
      <c r="W102" s="4"/>
      <c r="X102" s="5">
        <f>15000</f>
        <v>15000</v>
      </c>
      <c r="Y102" s="5">
        <f t="shared" si="78"/>
        <v>15000</v>
      </c>
      <c r="Z102" s="4"/>
      <c r="AA102" s="5">
        <f>15000</f>
        <v>15000</v>
      </c>
      <c r="AB102" s="5">
        <f t="shared" si="79"/>
        <v>15000</v>
      </c>
      <c r="AC102" s="4"/>
      <c r="AD102" s="5">
        <f>15000</f>
        <v>15000</v>
      </c>
      <c r="AE102" s="5">
        <f t="shared" si="80"/>
        <v>15000</v>
      </c>
      <c r="AF102" s="4"/>
      <c r="AG102" s="5">
        <f>15000</f>
        <v>15000</v>
      </c>
      <c r="AH102" s="5">
        <f t="shared" si="81"/>
        <v>15000</v>
      </c>
      <c r="AI102" s="4"/>
      <c r="AJ102" s="5">
        <f>15000</f>
        <v>15000</v>
      </c>
      <c r="AK102" s="5">
        <f t="shared" si="82"/>
        <v>15000</v>
      </c>
      <c r="AL102" s="5">
        <f t="shared" si="83"/>
        <v>178.99</v>
      </c>
      <c r="AM102" s="12">
        <f t="shared" si="84"/>
        <v>180000</v>
      </c>
      <c r="AN102" s="5">
        <v>750</v>
      </c>
    </row>
    <row r="103" spans="1:40" x14ac:dyDescent="0.45">
      <c r="A103" s="3" t="s">
        <v>110</v>
      </c>
      <c r="B103" s="5">
        <f>74.99</f>
        <v>74.989999999999995</v>
      </c>
      <c r="C103" s="5">
        <f>1958.33</f>
        <v>1958.33</v>
      </c>
      <c r="D103" s="5">
        <f t="shared" si="71"/>
        <v>1883.34</v>
      </c>
      <c r="E103" s="5">
        <f>0</f>
        <v>0</v>
      </c>
      <c r="F103" s="5">
        <f>1958.33</f>
        <v>1958.33</v>
      </c>
      <c r="G103" s="5">
        <f t="shared" si="72"/>
        <v>1958.33</v>
      </c>
      <c r="H103" s="5">
        <f>703.45</f>
        <v>703.45</v>
      </c>
      <c r="I103" s="5">
        <f>1958.33</f>
        <v>1958.33</v>
      </c>
      <c r="J103" s="5">
        <f t="shared" si="73"/>
        <v>1254.8799999999999</v>
      </c>
      <c r="K103" s="5">
        <f>850</f>
        <v>850</v>
      </c>
      <c r="L103" s="5">
        <f>1958.33</f>
        <v>1958.33</v>
      </c>
      <c r="M103" s="5">
        <f t="shared" si="74"/>
        <v>1108.33</v>
      </c>
      <c r="N103" s="5">
        <f>805.32</f>
        <v>805.32</v>
      </c>
      <c r="O103" s="5">
        <f>1958.33</f>
        <v>1958.33</v>
      </c>
      <c r="P103" s="5">
        <f t="shared" si="75"/>
        <v>1153.0099999999998</v>
      </c>
      <c r="Q103" s="4"/>
      <c r="R103" s="5">
        <f>1958.33</f>
        <v>1958.33</v>
      </c>
      <c r="S103" s="5">
        <f t="shared" si="76"/>
        <v>1958.33</v>
      </c>
      <c r="T103" s="4"/>
      <c r="U103" s="5">
        <f>1958.33</f>
        <v>1958.33</v>
      </c>
      <c r="V103" s="5">
        <f t="shared" si="77"/>
        <v>1958.33</v>
      </c>
      <c r="W103" s="4"/>
      <c r="X103" s="5">
        <f>1958.33</f>
        <v>1958.33</v>
      </c>
      <c r="Y103" s="5">
        <f t="shared" si="78"/>
        <v>1958.33</v>
      </c>
      <c r="Z103" s="4"/>
      <c r="AA103" s="5">
        <f>1958.33</f>
        <v>1958.33</v>
      </c>
      <c r="AB103" s="5">
        <f t="shared" si="79"/>
        <v>1958.33</v>
      </c>
      <c r="AC103" s="4"/>
      <c r="AD103" s="5">
        <f>1958.33</f>
        <v>1958.33</v>
      </c>
      <c r="AE103" s="5">
        <f t="shared" si="80"/>
        <v>1958.33</v>
      </c>
      <c r="AF103" s="4"/>
      <c r="AG103" s="5">
        <f>1958.33</f>
        <v>1958.33</v>
      </c>
      <c r="AH103" s="5">
        <f t="shared" si="81"/>
        <v>1958.33</v>
      </c>
      <c r="AI103" s="4"/>
      <c r="AJ103" s="5">
        <f>1958.37</f>
        <v>1958.37</v>
      </c>
      <c r="AK103" s="5">
        <f t="shared" si="82"/>
        <v>1958.37</v>
      </c>
      <c r="AL103" s="5">
        <f t="shared" si="83"/>
        <v>2433.7600000000002</v>
      </c>
      <c r="AM103" s="12">
        <f t="shared" si="84"/>
        <v>23500.000000000004</v>
      </c>
      <c r="AN103" s="5">
        <v>23500</v>
      </c>
    </row>
    <row r="104" spans="1:40" x14ac:dyDescent="0.45">
      <c r="A104" s="3" t="s">
        <v>111</v>
      </c>
      <c r="B104" s="4"/>
      <c r="C104" s="5">
        <f>833.33</f>
        <v>833.33</v>
      </c>
      <c r="D104" s="5">
        <f t="shared" si="71"/>
        <v>833.33</v>
      </c>
      <c r="E104" s="5">
        <f>3314.2</f>
        <v>3314.2</v>
      </c>
      <c r="F104" s="5">
        <f>833.33</f>
        <v>833.33</v>
      </c>
      <c r="G104" s="5">
        <f t="shared" si="72"/>
        <v>-2480.87</v>
      </c>
      <c r="H104" s="5">
        <f>326.86</f>
        <v>326.86</v>
      </c>
      <c r="I104" s="5">
        <f>833.33</f>
        <v>833.33</v>
      </c>
      <c r="J104" s="5">
        <f t="shared" si="73"/>
        <v>506.47</v>
      </c>
      <c r="K104" s="4"/>
      <c r="L104" s="5">
        <f>833.33</f>
        <v>833.33</v>
      </c>
      <c r="M104" s="5">
        <f t="shared" si="74"/>
        <v>833.33</v>
      </c>
      <c r="N104" s="4"/>
      <c r="O104" s="5">
        <f>833.33</f>
        <v>833.33</v>
      </c>
      <c r="P104" s="5">
        <f t="shared" si="75"/>
        <v>833.33</v>
      </c>
      <c r="Q104" s="4"/>
      <c r="R104" s="5">
        <f>833.33</f>
        <v>833.33</v>
      </c>
      <c r="S104" s="5">
        <f t="shared" si="76"/>
        <v>833.33</v>
      </c>
      <c r="T104" s="4"/>
      <c r="U104" s="5">
        <f>833.33</f>
        <v>833.33</v>
      </c>
      <c r="V104" s="5">
        <f t="shared" si="77"/>
        <v>833.33</v>
      </c>
      <c r="W104" s="4"/>
      <c r="X104" s="5">
        <f>833.33</f>
        <v>833.33</v>
      </c>
      <c r="Y104" s="5">
        <f t="shared" si="78"/>
        <v>833.33</v>
      </c>
      <c r="Z104" s="4"/>
      <c r="AA104" s="5">
        <f>833.33</f>
        <v>833.33</v>
      </c>
      <c r="AB104" s="5">
        <f t="shared" si="79"/>
        <v>833.33</v>
      </c>
      <c r="AC104" s="4"/>
      <c r="AD104" s="5">
        <f>833.33</f>
        <v>833.33</v>
      </c>
      <c r="AE104" s="5">
        <f t="shared" si="80"/>
        <v>833.33</v>
      </c>
      <c r="AF104" s="4"/>
      <c r="AG104" s="5">
        <f>833.33</f>
        <v>833.33</v>
      </c>
      <c r="AH104" s="5">
        <f t="shared" si="81"/>
        <v>833.33</v>
      </c>
      <c r="AI104" s="4"/>
      <c r="AJ104" s="5">
        <f>833.37</f>
        <v>833.37</v>
      </c>
      <c r="AK104" s="5">
        <f t="shared" si="82"/>
        <v>833.37</v>
      </c>
      <c r="AL104" s="5">
        <f t="shared" si="83"/>
        <v>3641.06</v>
      </c>
      <c r="AM104" s="12">
        <f t="shared" si="84"/>
        <v>10000.000000000002</v>
      </c>
      <c r="AN104" s="5">
        <v>16000</v>
      </c>
    </row>
    <row r="105" spans="1:40" x14ac:dyDescent="0.45">
      <c r="A105" s="3" t="s">
        <v>112</v>
      </c>
      <c r="B105" s="4"/>
      <c r="C105" s="5">
        <f>1333.33</f>
        <v>1333.33</v>
      </c>
      <c r="D105" s="5">
        <f t="shared" si="71"/>
        <v>1333.33</v>
      </c>
      <c r="E105" s="4"/>
      <c r="F105" s="5">
        <f>1333.33</f>
        <v>1333.33</v>
      </c>
      <c r="G105" s="5">
        <f t="shared" si="72"/>
        <v>1333.33</v>
      </c>
      <c r="H105" s="4"/>
      <c r="I105" s="5">
        <f>1333.33</f>
        <v>1333.33</v>
      </c>
      <c r="J105" s="5">
        <f t="shared" si="73"/>
        <v>1333.33</v>
      </c>
      <c r="K105" s="4"/>
      <c r="L105" s="5">
        <f>1333.33</f>
        <v>1333.33</v>
      </c>
      <c r="M105" s="5">
        <f t="shared" si="74"/>
        <v>1333.33</v>
      </c>
      <c r="N105" s="4"/>
      <c r="O105" s="5">
        <f>1333.33</f>
        <v>1333.33</v>
      </c>
      <c r="P105" s="5">
        <f t="shared" si="75"/>
        <v>1333.33</v>
      </c>
      <c r="Q105" s="4"/>
      <c r="R105" s="5">
        <f>1333.33</f>
        <v>1333.33</v>
      </c>
      <c r="S105" s="5">
        <f t="shared" si="76"/>
        <v>1333.33</v>
      </c>
      <c r="T105" s="4"/>
      <c r="U105" s="5">
        <f>1333.33</f>
        <v>1333.33</v>
      </c>
      <c r="V105" s="5">
        <f t="shared" si="77"/>
        <v>1333.33</v>
      </c>
      <c r="W105" s="4"/>
      <c r="X105" s="5">
        <f>1333.33</f>
        <v>1333.33</v>
      </c>
      <c r="Y105" s="5">
        <f t="shared" si="78"/>
        <v>1333.33</v>
      </c>
      <c r="Z105" s="4"/>
      <c r="AA105" s="5">
        <f>1333.33</f>
        <v>1333.33</v>
      </c>
      <c r="AB105" s="5">
        <f t="shared" si="79"/>
        <v>1333.33</v>
      </c>
      <c r="AC105" s="4"/>
      <c r="AD105" s="5">
        <f>1333.33</f>
        <v>1333.33</v>
      </c>
      <c r="AE105" s="5">
        <f t="shared" si="80"/>
        <v>1333.33</v>
      </c>
      <c r="AF105" s="4"/>
      <c r="AG105" s="5">
        <f>1333.33</f>
        <v>1333.33</v>
      </c>
      <c r="AH105" s="5">
        <f t="shared" si="81"/>
        <v>1333.33</v>
      </c>
      <c r="AI105" s="4"/>
      <c r="AJ105" s="5">
        <f>1333.37</f>
        <v>1333.37</v>
      </c>
      <c r="AK105" s="5">
        <f t="shared" si="82"/>
        <v>1333.37</v>
      </c>
      <c r="AL105" s="5">
        <f t="shared" si="83"/>
        <v>0</v>
      </c>
      <c r="AM105" s="12">
        <f t="shared" si="84"/>
        <v>16000</v>
      </c>
      <c r="AN105" s="5">
        <v>15300</v>
      </c>
    </row>
    <row r="106" spans="1:40" x14ac:dyDescent="0.45">
      <c r="A106" s="3" t="s">
        <v>113</v>
      </c>
      <c r="B106" s="4"/>
      <c r="C106" s="4"/>
      <c r="D106" s="5">
        <f t="shared" si="71"/>
        <v>0</v>
      </c>
      <c r="E106" s="4"/>
      <c r="F106" s="4"/>
      <c r="G106" s="5">
        <f t="shared" si="72"/>
        <v>0</v>
      </c>
      <c r="H106" s="4"/>
      <c r="I106" s="4"/>
      <c r="J106" s="5">
        <f t="shared" si="73"/>
        <v>0</v>
      </c>
      <c r="K106" s="4"/>
      <c r="L106" s="4"/>
      <c r="M106" s="5">
        <f t="shared" si="74"/>
        <v>0</v>
      </c>
      <c r="N106" s="4"/>
      <c r="O106" s="4"/>
      <c r="P106" s="5">
        <f t="shared" si="75"/>
        <v>0</v>
      </c>
      <c r="Q106" s="4"/>
      <c r="R106" s="4"/>
      <c r="S106" s="5">
        <f t="shared" si="76"/>
        <v>0</v>
      </c>
      <c r="T106" s="4"/>
      <c r="U106" s="4"/>
      <c r="V106" s="5">
        <f t="shared" si="77"/>
        <v>0</v>
      </c>
      <c r="W106" s="4"/>
      <c r="X106" s="4"/>
      <c r="Y106" s="5">
        <f t="shared" si="78"/>
        <v>0</v>
      </c>
      <c r="Z106" s="4"/>
      <c r="AA106" s="4"/>
      <c r="AB106" s="5">
        <f t="shared" si="79"/>
        <v>0</v>
      </c>
      <c r="AC106" s="4"/>
      <c r="AD106" s="4"/>
      <c r="AE106" s="5">
        <f t="shared" si="80"/>
        <v>0</v>
      </c>
      <c r="AF106" s="4"/>
      <c r="AG106" s="4"/>
      <c r="AH106" s="5">
        <f t="shared" si="81"/>
        <v>0</v>
      </c>
      <c r="AI106" s="4"/>
      <c r="AJ106" s="4"/>
      <c r="AK106" s="5">
        <f t="shared" si="82"/>
        <v>0</v>
      </c>
      <c r="AL106" s="5">
        <f t="shared" si="83"/>
        <v>0</v>
      </c>
      <c r="AM106" s="12">
        <f t="shared" si="84"/>
        <v>0</v>
      </c>
      <c r="AN106" s="5">
        <v>0</v>
      </c>
    </row>
    <row r="107" spans="1:40" x14ac:dyDescent="0.45">
      <c r="A107" s="3" t="s">
        <v>114</v>
      </c>
      <c r="B107" s="5">
        <f>87.6</f>
        <v>87.6</v>
      </c>
      <c r="C107" s="5">
        <f>666.67</f>
        <v>666.67</v>
      </c>
      <c r="D107" s="5">
        <f t="shared" si="71"/>
        <v>579.06999999999994</v>
      </c>
      <c r="E107" s="4"/>
      <c r="F107" s="5">
        <f>666.67</f>
        <v>666.67</v>
      </c>
      <c r="G107" s="5">
        <f t="shared" si="72"/>
        <v>666.67</v>
      </c>
      <c r="H107" s="4"/>
      <c r="I107" s="5">
        <f>666.67</f>
        <v>666.67</v>
      </c>
      <c r="J107" s="5">
        <f t="shared" si="73"/>
        <v>666.67</v>
      </c>
      <c r="K107" s="4"/>
      <c r="L107" s="5">
        <f>666.67</f>
        <v>666.67</v>
      </c>
      <c r="M107" s="5">
        <f t="shared" si="74"/>
        <v>666.67</v>
      </c>
      <c r="N107" s="4"/>
      <c r="O107" s="5">
        <f>666.67</f>
        <v>666.67</v>
      </c>
      <c r="P107" s="5">
        <f t="shared" si="75"/>
        <v>666.67</v>
      </c>
      <c r="Q107" s="4"/>
      <c r="R107" s="5">
        <f>666.67</f>
        <v>666.67</v>
      </c>
      <c r="S107" s="5">
        <f t="shared" si="76"/>
        <v>666.67</v>
      </c>
      <c r="T107" s="4"/>
      <c r="U107" s="5">
        <f>666.67</f>
        <v>666.67</v>
      </c>
      <c r="V107" s="5">
        <f t="shared" si="77"/>
        <v>666.67</v>
      </c>
      <c r="W107" s="4"/>
      <c r="X107" s="5">
        <f>666.67</f>
        <v>666.67</v>
      </c>
      <c r="Y107" s="5">
        <f t="shared" si="78"/>
        <v>666.67</v>
      </c>
      <c r="Z107" s="4"/>
      <c r="AA107" s="5">
        <f>666.67</f>
        <v>666.67</v>
      </c>
      <c r="AB107" s="5">
        <f t="shared" si="79"/>
        <v>666.67</v>
      </c>
      <c r="AC107" s="4"/>
      <c r="AD107" s="5">
        <f>666.67</f>
        <v>666.67</v>
      </c>
      <c r="AE107" s="5">
        <f t="shared" si="80"/>
        <v>666.67</v>
      </c>
      <c r="AF107" s="4"/>
      <c r="AG107" s="5">
        <f>666.67</f>
        <v>666.67</v>
      </c>
      <c r="AH107" s="5">
        <f t="shared" si="81"/>
        <v>666.67</v>
      </c>
      <c r="AI107" s="4"/>
      <c r="AJ107" s="5">
        <f>666.63</f>
        <v>666.63</v>
      </c>
      <c r="AK107" s="5">
        <f t="shared" si="82"/>
        <v>666.63</v>
      </c>
      <c r="AL107" s="5">
        <f t="shared" si="83"/>
        <v>87.6</v>
      </c>
      <c r="AM107" s="12">
        <f t="shared" si="84"/>
        <v>8000</v>
      </c>
      <c r="AN107" s="5">
        <v>7450</v>
      </c>
    </row>
    <row r="108" spans="1:40" x14ac:dyDescent="0.45">
      <c r="A108" s="3" t="s">
        <v>115</v>
      </c>
      <c r="B108" s="4"/>
      <c r="C108" s="4"/>
      <c r="D108" s="5">
        <f t="shared" ref="D108:D133" si="85">(C108)-(B108)</f>
        <v>0</v>
      </c>
      <c r="E108" s="4"/>
      <c r="F108" s="4"/>
      <c r="G108" s="5">
        <f t="shared" ref="G108:G133" si="86">(F108)-(E108)</f>
        <v>0</v>
      </c>
      <c r="H108" s="4"/>
      <c r="I108" s="4"/>
      <c r="J108" s="5">
        <f t="shared" ref="J108:J133" si="87">(I108)-(H108)</f>
        <v>0</v>
      </c>
      <c r="K108" s="4"/>
      <c r="L108" s="4"/>
      <c r="M108" s="5">
        <f t="shared" ref="M108:M133" si="88">(L108)-(K108)</f>
        <v>0</v>
      </c>
      <c r="N108" s="4"/>
      <c r="O108" s="4"/>
      <c r="P108" s="5">
        <f t="shared" ref="P108:P133" si="89">(O108)-(N108)</f>
        <v>0</v>
      </c>
      <c r="Q108" s="4"/>
      <c r="R108" s="4"/>
      <c r="S108" s="5">
        <f t="shared" ref="S108:S133" si="90">(R108)-(Q108)</f>
        <v>0</v>
      </c>
      <c r="T108" s="4"/>
      <c r="U108" s="4"/>
      <c r="V108" s="5">
        <f t="shared" ref="V108:V133" si="91">(U108)-(T108)</f>
        <v>0</v>
      </c>
      <c r="W108" s="4"/>
      <c r="X108" s="4"/>
      <c r="Y108" s="5">
        <f t="shared" ref="Y108:Y133" si="92">(X108)-(W108)</f>
        <v>0</v>
      </c>
      <c r="Z108" s="4"/>
      <c r="AA108" s="4"/>
      <c r="AB108" s="5">
        <f t="shared" ref="AB108:AB133" si="93">(AA108)-(Z108)</f>
        <v>0</v>
      </c>
      <c r="AC108" s="4"/>
      <c r="AD108" s="4"/>
      <c r="AE108" s="5">
        <f t="shared" ref="AE108:AE133" si="94">(AD108)-(AC108)</f>
        <v>0</v>
      </c>
      <c r="AF108" s="4"/>
      <c r="AG108" s="4"/>
      <c r="AH108" s="5">
        <f t="shared" ref="AH108:AH133" si="95">(AG108)-(AF108)</f>
        <v>0</v>
      </c>
      <c r="AI108" s="4"/>
      <c r="AJ108" s="4"/>
      <c r="AK108" s="5">
        <f t="shared" ref="AK108:AK133" si="96">(AJ108)-(AI108)</f>
        <v>0</v>
      </c>
      <c r="AL108" s="5">
        <f t="shared" ref="AL108:AL133" si="97">(((((((((((B108)+(E108))+(H108))+(K108))+(N108))+(Q108))+(T108))+(W108))+(Z108))+(AC108))+(AF108))+(AI108)</f>
        <v>0</v>
      </c>
      <c r="AM108" s="12">
        <f t="shared" ref="AM108:AM133" si="98">(((((((((((C108)+(F108))+(I108))+(L108))+(O108))+(R108))+(U108))+(X108))+(AA108))+(AD108))+(AG108))+(AJ108)</f>
        <v>0</v>
      </c>
      <c r="AN108" s="5">
        <v>5000</v>
      </c>
    </row>
    <row r="109" spans="1:40" x14ac:dyDescent="0.45">
      <c r="A109" s="3" t="s">
        <v>116</v>
      </c>
      <c r="B109" s="4"/>
      <c r="C109" s="5">
        <f>416.67</f>
        <v>416.67</v>
      </c>
      <c r="D109" s="5">
        <f t="shared" si="85"/>
        <v>416.67</v>
      </c>
      <c r="E109" s="4"/>
      <c r="F109" s="5">
        <f>416.67</f>
        <v>416.67</v>
      </c>
      <c r="G109" s="5">
        <f t="shared" si="86"/>
        <v>416.67</v>
      </c>
      <c r="H109" s="4"/>
      <c r="I109" s="5">
        <f>416.67</f>
        <v>416.67</v>
      </c>
      <c r="J109" s="5">
        <f t="shared" si="87"/>
        <v>416.67</v>
      </c>
      <c r="K109" s="4"/>
      <c r="L109" s="5">
        <f>416.67</f>
        <v>416.67</v>
      </c>
      <c r="M109" s="5">
        <f t="shared" si="88"/>
        <v>416.67</v>
      </c>
      <c r="N109" s="4"/>
      <c r="O109" s="5">
        <f>416.67</f>
        <v>416.67</v>
      </c>
      <c r="P109" s="5">
        <f t="shared" si="89"/>
        <v>416.67</v>
      </c>
      <c r="Q109" s="4"/>
      <c r="R109" s="5">
        <f>416.67</f>
        <v>416.67</v>
      </c>
      <c r="S109" s="5">
        <f t="shared" si="90"/>
        <v>416.67</v>
      </c>
      <c r="T109" s="4"/>
      <c r="U109" s="5">
        <f>416.67</f>
        <v>416.67</v>
      </c>
      <c r="V109" s="5">
        <f t="shared" si="91"/>
        <v>416.67</v>
      </c>
      <c r="W109" s="4"/>
      <c r="X109" s="5">
        <f>416.67</f>
        <v>416.67</v>
      </c>
      <c r="Y109" s="5">
        <f t="shared" si="92"/>
        <v>416.67</v>
      </c>
      <c r="Z109" s="4"/>
      <c r="AA109" s="5">
        <f>416.67</f>
        <v>416.67</v>
      </c>
      <c r="AB109" s="5">
        <f t="shared" si="93"/>
        <v>416.67</v>
      </c>
      <c r="AC109" s="4"/>
      <c r="AD109" s="5">
        <f>416.67</f>
        <v>416.67</v>
      </c>
      <c r="AE109" s="5">
        <f t="shared" si="94"/>
        <v>416.67</v>
      </c>
      <c r="AF109" s="4"/>
      <c r="AG109" s="5">
        <f>416.67</f>
        <v>416.67</v>
      </c>
      <c r="AH109" s="5">
        <f t="shared" si="95"/>
        <v>416.67</v>
      </c>
      <c r="AI109" s="4"/>
      <c r="AJ109" s="5">
        <f>416.63</f>
        <v>416.63</v>
      </c>
      <c r="AK109" s="5">
        <f t="shared" si="96"/>
        <v>416.63</v>
      </c>
      <c r="AL109" s="5">
        <f t="shared" si="97"/>
        <v>0</v>
      </c>
      <c r="AM109" s="12">
        <f t="shared" si="98"/>
        <v>5000</v>
      </c>
      <c r="AN109" s="29">
        <v>5000</v>
      </c>
    </row>
    <row r="110" spans="1:40" x14ac:dyDescent="0.45">
      <c r="A110" s="3" t="s">
        <v>117</v>
      </c>
      <c r="B110" s="5">
        <f>2340</f>
        <v>2340</v>
      </c>
      <c r="C110" s="5">
        <f>883.33</f>
        <v>883.33</v>
      </c>
      <c r="D110" s="5">
        <f t="shared" si="85"/>
        <v>-1456.67</v>
      </c>
      <c r="E110" s="4"/>
      <c r="F110" s="5">
        <f>883.33</f>
        <v>883.33</v>
      </c>
      <c r="G110" s="5">
        <f t="shared" si="86"/>
        <v>883.33</v>
      </c>
      <c r="H110" s="4"/>
      <c r="I110" s="5">
        <f>883.33</f>
        <v>883.33</v>
      </c>
      <c r="J110" s="5">
        <f t="shared" si="87"/>
        <v>883.33</v>
      </c>
      <c r="K110" s="4"/>
      <c r="L110" s="5">
        <f>883.33</f>
        <v>883.33</v>
      </c>
      <c r="M110" s="5">
        <f t="shared" si="88"/>
        <v>883.33</v>
      </c>
      <c r="N110" s="4"/>
      <c r="O110" s="5">
        <f>883.33</f>
        <v>883.33</v>
      </c>
      <c r="P110" s="5">
        <f t="shared" si="89"/>
        <v>883.33</v>
      </c>
      <c r="Q110" s="4"/>
      <c r="R110" s="5">
        <f>883.33</f>
        <v>883.33</v>
      </c>
      <c r="S110" s="5">
        <f t="shared" si="90"/>
        <v>883.33</v>
      </c>
      <c r="T110" s="4"/>
      <c r="U110" s="5">
        <f>883.33</f>
        <v>883.33</v>
      </c>
      <c r="V110" s="5">
        <f t="shared" si="91"/>
        <v>883.33</v>
      </c>
      <c r="W110" s="4"/>
      <c r="X110" s="5">
        <f>883.33</f>
        <v>883.33</v>
      </c>
      <c r="Y110" s="5">
        <f t="shared" si="92"/>
        <v>883.33</v>
      </c>
      <c r="Z110" s="4"/>
      <c r="AA110" s="5">
        <f>883.33</f>
        <v>883.33</v>
      </c>
      <c r="AB110" s="5">
        <f t="shared" si="93"/>
        <v>883.33</v>
      </c>
      <c r="AC110" s="4"/>
      <c r="AD110" s="5">
        <f>883.33</f>
        <v>883.33</v>
      </c>
      <c r="AE110" s="5">
        <f t="shared" si="94"/>
        <v>883.33</v>
      </c>
      <c r="AF110" s="4"/>
      <c r="AG110" s="5">
        <f>883.33</f>
        <v>883.33</v>
      </c>
      <c r="AH110" s="5">
        <f t="shared" si="95"/>
        <v>883.33</v>
      </c>
      <c r="AI110" s="4"/>
      <c r="AJ110" s="5">
        <f>883.37</f>
        <v>883.37</v>
      </c>
      <c r="AK110" s="5">
        <f t="shared" si="96"/>
        <v>883.37</v>
      </c>
      <c r="AL110" s="5">
        <f t="shared" si="97"/>
        <v>2340</v>
      </c>
      <c r="AM110" s="12">
        <f t="shared" si="98"/>
        <v>10600.000000000002</v>
      </c>
      <c r="AN110" s="5">
        <v>10600</v>
      </c>
    </row>
    <row r="111" spans="1:40" x14ac:dyDescent="0.45">
      <c r="A111" s="3" t="s">
        <v>118</v>
      </c>
      <c r="B111" s="4"/>
      <c r="C111" s="5">
        <f>333.33</f>
        <v>333.33</v>
      </c>
      <c r="D111" s="5">
        <f t="shared" si="85"/>
        <v>333.33</v>
      </c>
      <c r="E111" s="4"/>
      <c r="F111" s="5">
        <f>333.33</f>
        <v>333.33</v>
      </c>
      <c r="G111" s="5">
        <f t="shared" si="86"/>
        <v>333.33</v>
      </c>
      <c r="H111" s="4"/>
      <c r="I111" s="5">
        <f>333.33</f>
        <v>333.33</v>
      </c>
      <c r="J111" s="5">
        <f t="shared" si="87"/>
        <v>333.33</v>
      </c>
      <c r="K111" s="4"/>
      <c r="L111" s="5">
        <f>333.33</f>
        <v>333.33</v>
      </c>
      <c r="M111" s="5">
        <f t="shared" si="88"/>
        <v>333.33</v>
      </c>
      <c r="N111" s="4"/>
      <c r="O111" s="5">
        <f>333.33</f>
        <v>333.33</v>
      </c>
      <c r="P111" s="5">
        <f t="shared" si="89"/>
        <v>333.33</v>
      </c>
      <c r="Q111" s="4"/>
      <c r="R111" s="5">
        <f>333.33</f>
        <v>333.33</v>
      </c>
      <c r="S111" s="5">
        <f t="shared" si="90"/>
        <v>333.33</v>
      </c>
      <c r="T111" s="4"/>
      <c r="U111" s="5">
        <f>333.33</f>
        <v>333.33</v>
      </c>
      <c r="V111" s="5">
        <f t="shared" si="91"/>
        <v>333.33</v>
      </c>
      <c r="W111" s="4"/>
      <c r="X111" s="5">
        <f>333.33</f>
        <v>333.33</v>
      </c>
      <c r="Y111" s="5">
        <f t="shared" si="92"/>
        <v>333.33</v>
      </c>
      <c r="Z111" s="4"/>
      <c r="AA111" s="5">
        <f>333.33</f>
        <v>333.33</v>
      </c>
      <c r="AB111" s="5">
        <f t="shared" si="93"/>
        <v>333.33</v>
      </c>
      <c r="AC111" s="4"/>
      <c r="AD111" s="5">
        <f>333.33</f>
        <v>333.33</v>
      </c>
      <c r="AE111" s="5">
        <f t="shared" si="94"/>
        <v>333.33</v>
      </c>
      <c r="AF111" s="4"/>
      <c r="AG111" s="5">
        <f>333.33</f>
        <v>333.33</v>
      </c>
      <c r="AH111" s="5">
        <f t="shared" si="95"/>
        <v>333.33</v>
      </c>
      <c r="AI111" s="4"/>
      <c r="AJ111" s="5">
        <f>333.37</f>
        <v>333.37</v>
      </c>
      <c r="AK111" s="5">
        <f t="shared" si="96"/>
        <v>333.37</v>
      </c>
      <c r="AL111" s="5">
        <f t="shared" si="97"/>
        <v>0</v>
      </c>
      <c r="AM111" s="12">
        <f t="shared" si="98"/>
        <v>3999.9999999999995</v>
      </c>
      <c r="AN111" s="29">
        <v>4000</v>
      </c>
    </row>
    <row r="112" spans="1:40" x14ac:dyDescent="0.45">
      <c r="A112" s="3" t="s">
        <v>119</v>
      </c>
      <c r="B112" s="6">
        <f>((((((((((((((B93)+(B98))+(B99))+(B100))+(B101))+(B102))+(B103))+(B104))+(B105))+(B106))+(B107))+(B108))+(B109))+(B110))+(B111)</f>
        <v>2631.44</v>
      </c>
      <c r="C112" s="6">
        <f>((((((((((((((C93)+(C98))+(C99))+(C100))+(C101))+(C102))+(C103))+(C104))+(C105))+(C106))+(C107))+(C108))+(C109))+(C110))+(C111)</f>
        <v>23858.320000000007</v>
      </c>
      <c r="D112" s="6">
        <f t="shared" si="85"/>
        <v>21226.880000000008</v>
      </c>
      <c r="E112" s="6">
        <f>((((((((((((((E93)+(E98))+(E99))+(E100))+(E101))+(E102))+(E103))+(E104))+(E105))+(E106))+(E107))+(E108))+(E109))+(E110))+(E111)</f>
        <v>3170.91</v>
      </c>
      <c r="F112" s="6">
        <f>((((((((((((((F93)+(F98))+(F99))+(F100))+(F101))+(F102))+(F103))+(F104))+(F105))+(F106))+(F107))+(F108))+(F109))+(F110))+(F111)</f>
        <v>23858.320000000007</v>
      </c>
      <c r="G112" s="6">
        <f t="shared" si="86"/>
        <v>20687.410000000007</v>
      </c>
      <c r="H112" s="6">
        <f>((((((((((((((H93)+(H98))+(H99))+(H100))+(H101))+(H102))+(H103))+(H104))+(H105))+(H106))+(H107))+(H108))+(H109))+(H110))+(H111)</f>
        <v>1211.96</v>
      </c>
      <c r="I112" s="6">
        <f>((((((((((((((I93)+(I98))+(I99))+(I100))+(I101))+(I102))+(I103))+(I104))+(I105))+(I106))+(I107))+(I108))+(I109))+(I110))+(I111)</f>
        <v>23858.320000000007</v>
      </c>
      <c r="J112" s="6">
        <f t="shared" si="87"/>
        <v>22646.360000000008</v>
      </c>
      <c r="K112" s="6">
        <f>((((((((((((((K93)+(K98))+(K99))+(K100))+(K101))+(K102))+(K103))+(K104))+(K105))+(K106))+(K107))+(K108))+(K109))+(K110))+(K111)</f>
        <v>1736.56</v>
      </c>
      <c r="L112" s="6">
        <f>((((((((((((((L93)+(L98))+(L99))+(L100))+(L101))+(L102))+(L103))+(L104))+(L105))+(L106))+(L107))+(L108))+(L109))+(L110))+(L111)</f>
        <v>23858.320000000007</v>
      </c>
      <c r="M112" s="6">
        <f t="shared" si="88"/>
        <v>22121.760000000006</v>
      </c>
      <c r="N112" s="6">
        <f>((((((((((((((N93)+(N98))+(N99))+(N100))+(N101))+(N102))+(N103))+(N104))+(N105))+(N106))+(N107))+(N108))+(N109))+(N110))+(N111)</f>
        <v>819.69</v>
      </c>
      <c r="O112" s="6">
        <f>((((((((((((((O93)+(O98))+(O99))+(O100))+(O101))+(O102))+(O103))+(O104))+(O105))+(O106))+(O107))+(O108))+(O109))+(O110))+(O111)</f>
        <v>23858.320000000007</v>
      </c>
      <c r="P112" s="6">
        <f t="shared" si="89"/>
        <v>23038.630000000008</v>
      </c>
      <c r="Q112" s="6">
        <f>((((((((((((((Q93)+(Q98))+(Q99))+(Q100))+(Q101))+(Q102))+(Q103))+(Q104))+(Q105))+(Q106))+(Q107))+(Q108))+(Q109))+(Q110))+(Q111)</f>
        <v>757.83</v>
      </c>
      <c r="R112" s="6">
        <f>((((((((((((((R93)+(R98))+(R99))+(R100))+(R101))+(R102))+(R103))+(R104))+(R105))+(R106))+(R107))+(R108))+(R109))+(R110))+(R111)</f>
        <v>23858.320000000007</v>
      </c>
      <c r="S112" s="6">
        <f t="shared" si="90"/>
        <v>23100.490000000005</v>
      </c>
      <c r="T112" s="6">
        <f>((((((((((((((T93)+(T98))+(T99))+(T100))+(T101))+(T102))+(T103))+(T104))+(T105))+(T106))+(T107))+(T108))+(T109))+(T110))+(T111)</f>
        <v>48.219999999999956</v>
      </c>
      <c r="U112" s="6">
        <f>((((((((((((((U93)+(U98))+(U99))+(U100))+(U101))+(U102))+(U103))+(U104))+(U105))+(U106))+(U107))+(U108))+(U109))+(U110))+(U111)</f>
        <v>23858.320000000007</v>
      </c>
      <c r="V112" s="6">
        <f t="shared" si="91"/>
        <v>23810.100000000006</v>
      </c>
      <c r="W112" s="6">
        <f>((((((((((((((W93)+(W98))+(W99))+(W100))+(W101))+(W102))+(W103))+(W104))+(W105))+(W106))+(W107))+(W108))+(W109))+(W110))+(W111)</f>
        <v>-168.04</v>
      </c>
      <c r="X112" s="6">
        <f>((((((((((((((X93)+(X98))+(X99))+(X100))+(X101))+(X102))+(X103))+(X104))+(X105))+(X106))+(X107))+(X108))+(X109))+(X110))+(X111)</f>
        <v>23858.320000000007</v>
      </c>
      <c r="Y112" s="6">
        <f t="shared" si="92"/>
        <v>24026.360000000008</v>
      </c>
      <c r="Z112" s="6">
        <f>((((((((((((((Z93)+(Z98))+(Z99))+(Z100))+(Z101))+(Z102))+(Z103))+(Z104))+(Z105))+(Z106))+(Z107))+(Z108))+(Z109))+(Z110))+(Z111)</f>
        <v>0</v>
      </c>
      <c r="AA112" s="6">
        <f>((((((((((((((AA93)+(AA98))+(AA99))+(AA100))+(AA101))+(AA102))+(AA103))+(AA104))+(AA105))+(AA106))+(AA107))+(AA108))+(AA109))+(AA110))+(AA111)</f>
        <v>23858.320000000007</v>
      </c>
      <c r="AB112" s="6">
        <f t="shared" si="93"/>
        <v>23858.320000000007</v>
      </c>
      <c r="AC112" s="6">
        <f>((((((((((((((AC93)+(AC98))+(AC99))+(AC100))+(AC101))+(AC102))+(AC103))+(AC104))+(AC105))+(AC106))+(AC107))+(AC108))+(AC109))+(AC110))+(AC111)</f>
        <v>0</v>
      </c>
      <c r="AD112" s="6">
        <f>((((((((((((((AD93)+(AD98))+(AD99))+(AD100))+(AD101))+(AD102))+(AD103))+(AD104))+(AD105))+(AD106))+(AD107))+(AD108))+(AD109))+(AD110))+(AD111)</f>
        <v>23858.320000000007</v>
      </c>
      <c r="AE112" s="6">
        <f t="shared" si="94"/>
        <v>23858.320000000007</v>
      </c>
      <c r="AF112" s="6">
        <f>((((((((((((((AF93)+(AF98))+(AF99))+(AF100))+(AF101))+(AF102))+(AF103))+(AF104))+(AF105))+(AF106))+(AF107))+(AF108))+(AF109))+(AF110))+(AF111)</f>
        <v>0</v>
      </c>
      <c r="AG112" s="6">
        <f>((((((((((((((AG93)+(AG98))+(AG99))+(AG100))+(AG101))+(AG102))+(AG103))+(AG104))+(AG105))+(AG106))+(AG107))+(AG108))+(AG109))+(AG110))+(AG111)</f>
        <v>23858.320000000007</v>
      </c>
      <c r="AH112" s="6">
        <f t="shared" si="95"/>
        <v>23858.320000000007</v>
      </c>
      <c r="AI112" s="6">
        <f>((((((((((((((AI93)+(AI98))+(AI99))+(AI100))+(AI101))+(AI102))+(AI103))+(AI104))+(AI105))+(AI106))+(AI107))+(AI108))+(AI109))+(AI110))+(AI111)</f>
        <v>0</v>
      </c>
      <c r="AJ112" s="6">
        <f>((((((((((((((AJ93)+(AJ98))+(AJ99))+(AJ100))+(AJ101))+(AJ102))+(AJ103))+(AJ104))+(AJ105))+(AJ106))+(AJ107))+(AJ108))+(AJ109))+(AJ110))+(AJ111)</f>
        <v>23858.479999999996</v>
      </c>
      <c r="AK112" s="6">
        <f t="shared" si="96"/>
        <v>23858.479999999996</v>
      </c>
      <c r="AL112" s="6">
        <f t="shared" si="97"/>
        <v>10208.57</v>
      </c>
      <c r="AM112" s="13">
        <f t="shared" si="98"/>
        <v>286300.00000000006</v>
      </c>
      <c r="AN112" s="14">
        <v>114050</v>
      </c>
    </row>
    <row r="113" spans="1:40" x14ac:dyDescent="0.45">
      <c r="A113" s="3" t="s">
        <v>120</v>
      </c>
      <c r="B113" s="4"/>
      <c r="C113" s="4"/>
      <c r="D113" s="5">
        <f t="shared" si="85"/>
        <v>0</v>
      </c>
      <c r="E113" s="4"/>
      <c r="F113" s="4"/>
      <c r="G113" s="5">
        <f t="shared" si="86"/>
        <v>0</v>
      </c>
      <c r="H113" s="4"/>
      <c r="I113" s="4"/>
      <c r="J113" s="5">
        <f t="shared" si="87"/>
        <v>0</v>
      </c>
      <c r="K113" s="4"/>
      <c r="L113" s="4"/>
      <c r="M113" s="5">
        <f t="shared" si="88"/>
        <v>0</v>
      </c>
      <c r="N113" s="4"/>
      <c r="O113" s="4"/>
      <c r="P113" s="5">
        <f t="shared" si="89"/>
        <v>0</v>
      </c>
      <c r="Q113" s="4"/>
      <c r="R113" s="4"/>
      <c r="S113" s="5">
        <f t="shared" si="90"/>
        <v>0</v>
      </c>
      <c r="T113" s="4"/>
      <c r="U113" s="4"/>
      <c r="V113" s="5">
        <f t="shared" si="91"/>
        <v>0</v>
      </c>
      <c r="W113" s="4"/>
      <c r="X113" s="4"/>
      <c r="Y113" s="5">
        <f t="shared" si="92"/>
        <v>0</v>
      </c>
      <c r="Z113" s="4"/>
      <c r="AA113" s="4"/>
      <c r="AB113" s="5">
        <f t="shared" si="93"/>
        <v>0</v>
      </c>
      <c r="AC113" s="4"/>
      <c r="AD113" s="4"/>
      <c r="AE113" s="5">
        <f t="shared" si="94"/>
        <v>0</v>
      </c>
      <c r="AF113" s="4"/>
      <c r="AG113" s="4"/>
      <c r="AH113" s="5">
        <f t="shared" si="95"/>
        <v>0</v>
      </c>
      <c r="AI113" s="4"/>
      <c r="AJ113" s="4"/>
      <c r="AK113" s="5">
        <f t="shared" si="96"/>
        <v>0</v>
      </c>
      <c r="AL113" s="5">
        <f t="shared" si="97"/>
        <v>0</v>
      </c>
      <c r="AM113" s="12">
        <f t="shared" si="98"/>
        <v>0</v>
      </c>
      <c r="AN113" s="5"/>
    </row>
    <row r="114" spans="1:40" x14ac:dyDescent="0.45">
      <c r="A114" s="3" t="s">
        <v>121</v>
      </c>
      <c r="B114" s="4"/>
      <c r="C114" s="5">
        <f>83.33</f>
        <v>83.33</v>
      </c>
      <c r="D114" s="5">
        <f t="shared" si="85"/>
        <v>83.33</v>
      </c>
      <c r="E114" s="4"/>
      <c r="F114" s="5">
        <f>83.33</f>
        <v>83.33</v>
      </c>
      <c r="G114" s="5">
        <f t="shared" si="86"/>
        <v>83.33</v>
      </c>
      <c r="H114" s="4"/>
      <c r="I114" s="5">
        <f>83.33</f>
        <v>83.33</v>
      </c>
      <c r="J114" s="5">
        <f t="shared" si="87"/>
        <v>83.33</v>
      </c>
      <c r="K114" s="4"/>
      <c r="L114" s="5">
        <f>83.33</f>
        <v>83.33</v>
      </c>
      <c r="M114" s="5">
        <f t="shared" si="88"/>
        <v>83.33</v>
      </c>
      <c r="N114" s="4"/>
      <c r="O114" s="5">
        <f>83.33</f>
        <v>83.33</v>
      </c>
      <c r="P114" s="5">
        <f t="shared" si="89"/>
        <v>83.33</v>
      </c>
      <c r="Q114" s="4"/>
      <c r="R114" s="5">
        <f>83.33</f>
        <v>83.33</v>
      </c>
      <c r="S114" s="5">
        <f t="shared" si="90"/>
        <v>83.33</v>
      </c>
      <c r="T114" s="4"/>
      <c r="U114" s="5">
        <f>83.33</f>
        <v>83.33</v>
      </c>
      <c r="V114" s="5">
        <f t="shared" si="91"/>
        <v>83.33</v>
      </c>
      <c r="W114" s="4"/>
      <c r="X114" s="5">
        <f>83.33</f>
        <v>83.33</v>
      </c>
      <c r="Y114" s="5">
        <f t="shared" si="92"/>
        <v>83.33</v>
      </c>
      <c r="Z114" s="4"/>
      <c r="AA114" s="5">
        <f>83.33</f>
        <v>83.33</v>
      </c>
      <c r="AB114" s="5">
        <f t="shared" si="93"/>
        <v>83.33</v>
      </c>
      <c r="AC114" s="4"/>
      <c r="AD114" s="5">
        <f>83.33</f>
        <v>83.33</v>
      </c>
      <c r="AE114" s="5">
        <f t="shared" si="94"/>
        <v>83.33</v>
      </c>
      <c r="AF114" s="4"/>
      <c r="AG114" s="5">
        <f>83.33</f>
        <v>83.33</v>
      </c>
      <c r="AH114" s="5">
        <f t="shared" si="95"/>
        <v>83.33</v>
      </c>
      <c r="AI114" s="4"/>
      <c r="AJ114" s="5">
        <f>83.37</f>
        <v>83.37</v>
      </c>
      <c r="AK114" s="5">
        <f t="shared" si="96"/>
        <v>83.37</v>
      </c>
      <c r="AL114" s="5">
        <f t="shared" si="97"/>
        <v>0</v>
      </c>
      <c r="AM114" s="12">
        <f t="shared" si="98"/>
        <v>1000.0000000000001</v>
      </c>
      <c r="AN114" s="5">
        <v>600</v>
      </c>
    </row>
    <row r="115" spans="1:40" x14ac:dyDescent="0.45">
      <c r="A115" s="3" t="s">
        <v>122</v>
      </c>
      <c r="B115" s="4"/>
      <c r="C115" s="5">
        <f>1458.33</f>
        <v>1458.33</v>
      </c>
      <c r="D115" s="5">
        <f t="shared" si="85"/>
        <v>1458.33</v>
      </c>
      <c r="E115" s="4"/>
      <c r="F115" s="5">
        <f>1458.33</f>
        <v>1458.33</v>
      </c>
      <c r="G115" s="5">
        <f t="shared" si="86"/>
        <v>1458.33</v>
      </c>
      <c r="H115" s="4"/>
      <c r="I115" s="5">
        <f>1458.33</f>
        <v>1458.33</v>
      </c>
      <c r="J115" s="5">
        <f t="shared" si="87"/>
        <v>1458.33</v>
      </c>
      <c r="K115" s="4"/>
      <c r="L115" s="5">
        <f>1458.33</f>
        <v>1458.33</v>
      </c>
      <c r="M115" s="5">
        <f t="shared" si="88"/>
        <v>1458.33</v>
      </c>
      <c r="N115" s="4"/>
      <c r="O115" s="5">
        <f>1458.33</f>
        <v>1458.33</v>
      </c>
      <c r="P115" s="5">
        <f t="shared" si="89"/>
        <v>1458.33</v>
      </c>
      <c r="Q115" s="4"/>
      <c r="R115" s="5">
        <f>1458.33</f>
        <v>1458.33</v>
      </c>
      <c r="S115" s="5">
        <f t="shared" si="90"/>
        <v>1458.33</v>
      </c>
      <c r="T115" s="4"/>
      <c r="U115" s="5">
        <f>1458.33</f>
        <v>1458.33</v>
      </c>
      <c r="V115" s="5">
        <f t="shared" si="91"/>
        <v>1458.33</v>
      </c>
      <c r="W115" s="4"/>
      <c r="X115" s="5">
        <f>1458.33</f>
        <v>1458.33</v>
      </c>
      <c r="Y115" s="5">
        <f t="shared" si="92"/>
        <v>1458.33</v>
      </c>
      <c r="Z115" s="4"/>
      <c r="AA115" s="5">
        <f>1458.33</f>
        <v>1458.33</v>
      </c>
      <c r="AB115" s="5">
        <f t="shared" si="93"/>
        <v>1458.33</v>
      </c>
      <c r="AC115" s="4"/>
      <c r="AD115" s="5">
        <f>1458.33</f>
        <v>1458.33</v>
      </c>
      <c r="AE115" s="5">
        <f t="shared" si="94"/>
        <v>1458.33</v>
      </c>
      <c r="AF115" s="4"/>
      <c r="AG115" s="5">
        <f>1458.33</f>
        <v>1458.33</v>
      </c>
      <c r="AH115" s="5">
        <f t="shared" si="95"/>
        <v>1458.33</v>
      </c>
      <c r="AI115" s="4"/>
      <c r="AJ115" s="5">
        <f>1458.37</f>
        <v>1458.37</v>
      </c>
      <c r="AK115" s="5">
        <f t="shared" si="96"/>
        <v>1458.37</v>
      </c>
      <c r="AL115" s="5">
        <f t="shared" si="97"/>
        <v>0</v>
      </c>
      <c r="AM115" s="12">
        <f t="shared" si="98"/>
        <v>17500</v>
      </c>
      <c r="AN115" s="5">
        <v>0</v>
      </c>
    </row>
    <row r="116" spans="1:40" x14ac:dyDescent="0.45">
      <c r="A116" s="3" t="s">
        <v>123</v>
      </c>
      <c r="B116" s="5">
        <f>423.94</f>
        <v>423.94</v>
      </c>
      <c r="C116" s="4"/>
      <c r="D116" s="5">
        <f t="shared" si="85"/>
        <v>-423.94</v>
      </c>
      <c r="E116" s="5">
        <f>519.44</f>
        <v>519.44000000000005</v>
      </c>
      <c r="F116" s="4"/>
      <c r="G116" s="5">
        <f t="shared" si="86"/>
        <v>-519.44000000000005</v>
      </c>
      <c r="H116" s="4"/>
      <c r="I116" s="4"/>
      <c r="J116" s="5">
        <f t="shared" si="87"/>
        <v>0</v>
      </c>
      <c r="K116" s="4"/>
      <c r="L116" s="4"/>
      <c r="M116" s="5">
        <f t="shared" si="88"/>
        <v>0</v>
      </c>
      <c r="N116" s="4"/>
      <c r="O116" s="4"/>
      <c r="P116" s="5">
        <f t="shared" si="89"/>
        <v>0</v>
      </c>
      <c r="Q116" s="4"/>
      <c r="R116" s="4"/>
      <c r="S116" s="5">
        <f t="shared" si="90"/>
        <v>0</v>
      </c>
      <c r="T116" s="4"/>
      <c r="U116" s="4"/>
      <c r="V116" s="5">
        <f t="shared" si="91"/>
        <v>0</v>
      </c>
      <c r="W116" s="4"/>
      <c r="X116" s="4"/>
      <c r="Y116" s="5">
        <f t="shared" si="92"/>
        <v>0</v>
      </c>
      <c r="Z116" s="4"/>
      <c r="AA116" s="4"/>
      <c r="AB116" s="5">
        <f t="shared" si="93"/>
        <v>0</v>
      </c>
      <c r="AC116" s="4"/>
      <c r="AD116" s="4"/>
      <c r="AE116" s="5">
        <f t="shared" si="94"/>
        <v>0</v>
      </c>
      <c r="AF116" s="4"/>
      <c r="AG116" s="4"/>
      <c r="AH116" s="5">
        <f t="shared" si="95"/>
        <v>0</v>
      </c>
      <c r="AI116" s="4"/>
      <c r="AJ116" s="4"/>
      <c r="AK116" s="5">
        <f t="shared" si="96"/>
        <v>0</v>
      </c>
      <c r="AL116" s="5">
        <f t="shared" si="97"/>
        <v>943.38000000000011</v>
      </c>
      <c r="AM116" s="12">
        <f t="shared" si="98"/>
        <v>0</v>
      </c>
      <c r="AN116" s="5">
        <v>200</v>
      </c>
    </row>
    <row r="117" spans="1:40" x14ac:dyDescent="0.45">
      <c r="A117" s="3" t="s">
        <v>124</v>
      </c>
      <c r="B117" s="4"/>
      <c r="C117" s="4"/>
      <c r="D117" s="5">
        <f t="shared" si="85"/>
        <v>0</v>
      </c>
      <c r="E117" s="5">
        <f>513</f>
        <v>513</v>
      </c>
      <c r="F117" s="4"/>
      <c r="G117" s="5">
        <f t="shared" si="86"/>
        <v>-513</v>
      </c>
      <c r="H117" s="4"/>
      <c r="I117" s="4"/>
      <c r="J117" s="5">
        <f t="shared" si="87"/>
        <v>0</v>
      </c>
      <c r="K117" s="4"/>
      <c r="L117" s="4"/>
      <c r="M117" s="5">
        <f t="shared" si="88"/>
        <v>0</v>
      </c>
      <c r="N117" s="4"/>
      <c r="O117" s="4"/>
      <c r="P117" s="5">
        <f t="shared" si="89"/>
        <v>0</v>
      </c>
      <c r="Q117" s="4"/>
      <c r="R117" s="4"/>
      <c r="S117" s="5">
        <f t="shared" si="90"/>
        <v>0</v>
      </c>
      <c r="T117" s="4"/>
      <c r="U117" s="4"/>
      <c r="V117" s="5">
        <f t="shared" si="91"/>
        <v>0</v>
      </c>
      <c r="W117" s="4"/>
      <c r="X117" s="4"/>
      <c r="Y117" s="5">
        <f t="shared" si="92"/>
        <v>0</v>
      </c>
      <c r="Z117" s="4"/>
      <c r="AA117" s="4"/>
      <c r="AB117" s="5">
        <f t="shared" si="93"/>
        <v>0</v>
      </c>
      <c r="AC117" s="4"/>
      <c r="AD117" s="4"/>
      <c r="AE117" s="5">
        <f t="shared" si="94"/>
        <v>0</v>
      </c>
      <c r="AF117" s="4"/>
      <c r="AG117" s="4"/>
      <c r="AH117" s="5">
        <f t="shared" si="95"/>
        <v>0</v>
      </c>
      <c r="AI117" s="4"/>
      <c r="AJ117" s="4"/>
      <c r="AK117" s="5">
        <f t="shared" si="96"/>
        <v>0</v>
      </c>
      <c r="AL117" s="5">
        <f t="shared" si="97"/>
        <v>513</v>
      </c>
      <c r="AM117" s="12">
        <f t="shared" si="98"/>
        <v>0</v>
      </c>
      <c r="AN117" s="5">
        <v>200</v>
      </c>
    </row>
    <row r="118" spans="1:40" x14ac:dyDescent="0.45">
      <c r="A118" s="3" t="s">
        <v>125</v>
      </c>
      <c r="B118" s="5">
        <f>342</f>
        <v>342</v>
      </c>
      <c r="C118" s="4"/>
      <c r="D118" s="5">
        <f t="shared" si="85"/>
        <v>-342</v>
      </c>
      <c r="E118" s="5">
        <f>342</f>
        <v>342</v>
      </c>
      <c r="F118" s="4"/>
      <c r="G118" s="5">
        <f t="shared" si="86"/>
        <v>-342</v>
      </c>
      <c r="H118" s="4"/>
      <c r="I118" s="4"/>
      <c r="J118" s="5">
        <f t="shared" si="87"/>
        <v>0</v>
      </c>
      <c r="K118" s="4"/>
      <c r="L118" s="4"/>
      <c r="M118" s="5">
        <f t="shared" si="88"/>
        <v>0</v>
      </c>
      <c r="N118" s="4"/>
      <c r="O118" s="4"/>
      <c r="P118" s="5">
        <f t="shared" si="89"/>
        <v>0</v>
      </c>
      <c r="Q118" s="4"/>
      <c r="R118" s="4"/>
      <c r="S118" s="5">
        <f t="shared" si="90"/>
        <v>0</v>
      </c>
      <c r="T118" s="4"/>
      <c r="U118" s="4"/>
      <c r="V118" s="5">
        <f t="shared" si="91"/>
        <v>0</v>
      </c>
      <c r="W118" s="4"/>
      <c r="X118" s="4"/>
      <c r="Y118" s="5">
        <f t="shared" si="92"/>
        <v>0</v>
      </c>
      <c r="Z118" s="4"/>
      <c r="AA118" s="4"/>
      <c r="AB118" s="5">
        <f t="shared" si="93"/>
        <v>0</v>
      </c>
      <c r="AC118" s="4"/>
      <c r="AD118" s="4"/>
      <c r="AE118" s="5">
        <f t="shared" si="94"/>
        <v>0</v>
      </c>
      <c r="AF118" s="4"/>
      <c r="AG118" s="4"/>
      <c r="AH118" s="5">
        <f t="shared" si="95"/>
        <v>0</v>
      </c>
      <c r="AI118" s="4"/>
      <c r="AJ118" s="4"/>
      <c r="AK118" s="5">
        <f t="shared" si="96"/>
        <v>0</v>
      </c>
      <c r="AL118" s="5">
        <f t="shared" si="97"/>
        <v>684</v>
      </c>
      <c r="AM118" s="12">
        <f t="shared" si="98"/>
        <v>0</v>
      </c>
      <c r="AN118" s="5">
        <v>200</v>
      </c>
    </row>
    <row r="119" spans="1:40" x14ac:dyDescent="0.45">
      <c r="A119" s="3" t="s">
        <v>126</v>
      </c>
      <c r="B119" s="5">
        <f>1964.55</f>
        <v>1964.55</v>
      </c>
      <c r="C119" s="4"/>
      <c r="D119" s="5">
        <f t="shared" si="85"/>
        <v>-1964.55</v>
      </c>
      <c r="E119" s="5">
        <f>319.61</f>
        <v>319.61</v>
      </c>
      <c r="F119" s="4"/>
      <c r="G119" s="5">
        <f t="shared" si="86"/>
        <v>-319.61</v>
      </c>
      <c r="H119" s="4"/>
      <c r="I119" s="4"/>
      <c r="J119" s="5">
        <f t="shared" si="87"/>
        <v>0</v>
      </c>
      <c r="K119" s="4"/>
      <c r="L119" s="4"/>
      <c r="M119" s="5">
        <f t="shared" si="88"/>
        <v>0</v>
      </c>
      <c r="N119" s="4"/>
      <c r="O119" s="4"/>
      <c r="P119" s="5">
        <f t="shared" si="89"/>
        <v>0</v>
      </c>
      <c r="Q119" s="4"/>
      <c r="R119" s="4"/>
      <c r="S119" s="5">
        <f t="shared" si="90"/>
        <v>0</v>
      </c>
      <c r="T119" s="4"/>
      <c r="U119" s="4"/>
      <c r="V119" s="5">
        <f t="shared" si="91"/>
        <v>0</v>
      </c>
      <c r="W119" s="4"/>
      <c r="X119" s="4"/>
      <c r="Y119" s="5">
        <f t="shared" si="92"/>
        <v>0</v>
      </c>
      <c r="Z119" s="4"/>
      <c r="AA119" s="4"/>
      <c r="AB119" s="5">
        <f t="shared" si="93"/>
        <v>0</v>
      </c>
      <c r="AC119" s="4"/>
      <c r="AD119" s="4"/>
      <c r="AE119" s="5">
        <f t="shared" si="94"/>
        <v>0</v>
      </c>
      <c r="AF119" s="4"/>
      <c r="AG119" s="4"/>
      <c r="AH119" s="5">
        <f t="shared" si="95"/>
        <v>0</v>
      </c>
      <c r="AI119" s="4"/>
      <c r="AJ119" s="4"/>
      <c r="AK119" s="5">
        <f t="shared" si="96"/>
        <v>0</v>
      </c>
      <c r="AL119" s="5">
        <f t="shared" si="97"/>
        <v>2284.16</v>
      </c>
      <c r="AM119" s="12">
        <f t="shared" si="98"/>
        <v>0</v>
      </c>
      <c r="AN119" s="5">
        <v>200</v>
      </c>
    </row>
    <row r="120" spans="1:40" x14ac:dyDescent="0.45">
      <c r="A120" s="3" t="s">
        <v>127</v>
      </c>
      <c r="B120" s="5">
        <f>1139</f>
        <v>1139</v>
      </c>
      <c r="C120" s="4"/>
      <c r="D120" s="5">
        <f t="shared" si="85"/>
        <v>-1139</v>
      </c>
      <c r="E120" s="5">
        <f>684</f>
        <v>684</v>
      </c>
      <c r="F120" s="4"/>
      <c r="G120" s="5">
        <f t="shared" si="86"/>
        <v>-684</v>
      </c>
      <c r="H120" s="4"/>
      <c r="I120" s="4"/>
      <c r="J120" s="5">
        <f t="shared" si="87"/>
        <v>0</v>
      </c>
      <c r="K120" s="4"/>
      <c r="L120" s="4"/>
      <c r="M120" s="5">
        <f t="shared" si="88"/>
        <v>0</v>
      </c>
      <c r="N120" s="4"/>
      <c r="O120" s="4"/>
      <c r="P120" s="5">
        <f t="shared" si="89"/>
        <v>0</v>
      </c>
      <c r="Q120" s="4"/>
      <c r="R120" s="4"/>
      <c r="S120" s="5">
        <f t="shared" si="90"/>
        <v>0</v>
      </c>
      <c r="T120" s="4"/>
      <c r="U120" s="4"/>
      <c r="V120" s="5">
        <f t="shared" si="91"/>
        <v>0</v>
      </c>
      <c r="W120" s="4"/>
      <c r="X120" s="4"/>
      <c r="Y120" s="5">
        <f t="shared" si="92"/>
        <v>0</v>
      </c>
      <c r="Z120" s="4"/>
      <c r="AA120" s="4"/>
      <c r="AB120" s="5">
        <f t="shared" si="93"/>
        <v>0</v>
      </c>
      <c r="AC120" s="4"/>
      <c r="AD120" s="4"/>
      <c r="AE120" s="5">
        <f t="shared" si="94"/>
        <v>0</v>
      </c>
      <c r="AF120" s="4"/>
      <c r="AG120" s="4"/>
      <c r="AH120" s="5">
        <f t="shared" si="95"/>
        <v>0</v>
      </c>
      <c r="AI120" s="4"/>
      <c r="AJ120" s="4"/>
      <c r="AK120" s="5">
        <f t="shared" si="96"/>
        <v>0</v>
      </c>
      <c r="AL120" s="5">
        <f t="shared" si="97"/>
        <v>1823</v>
      </c>
      <c r="AM120" s="12">
        <f t="shared" si="98"/>
        <v>0</v>
      </c>
      <c r="AN120" s="5">
        <v>600</v>
      </c>
    </row>
    <row r="121" spans="1:40" x14ac:dyDescent="0.45">
      <c r="A121" s="3" t="s">
        <v>128</v>
      </c>
      <c r="B121" s="5">
        <f>2179.97</f>
        <v>2179.9699999999998</v>
      </c>
      <c r="C121" s="4"/>
      <c r="D121" s="5">
        <f t="shared" si="85"/>
        <v>-2179.9699999999998</v>
      </c>
      <c r="E121" s="5">
        <f>513</f>
        <v>513</v>
      </c>
      <c r="F121" s="4"/>
      <c r="G121" s="5">
        <f t="shared" si="86"/>
        <v>-513</v>
      </c>
      <c r="H121" s="4"/>
      <c r="I121" s="4"/>
      <c r="J121" s="5">
        <f t="shared" si="87"/>
        <v>0</v>
      </c>
      <c r="K121" s="4"/>
      <c r="L121" s="4"/>
      <c r="M121" s="5">
        <f t="shared" si="88"/>
        <v>0</v>
      </c>
      <c r="N121" s="4"/>
      <c r="O121" s="4"/>
      <c r="P121" s="5">
        <f t="shared" si="89"/>
        <v>0</v>
      </c>
      <c r="Q121" s="4"/>
      <c r="R121" s="4"/>
      <c r="S121" s="5">
        <f t="shared" si="90"/>
        <v>0</v>
      </c>
      <c r="T121" s="4"/>
      <c r="U121" s="4"/>
      <c r="V121" s="5">
        <f t="shared" si="91"/>
        <v>0</v>
      </c>
      <c r="W121" s="4"/>
      <c r="X121" s="4"/>
      <c r="Y121" s="5">
        <f t="shared" si="92"/>
        <v>0</v>
      </c>
      <c r="Z121" s="4"/>
      <c r="AA121" s="4"/>
      <c r="AB121" s="5">
        <f t="shared" si="93"/>
        <v>0</v>
      </c>
      <c r="AC121" s="4"/>
      <c r="AD121" s="4"/>
      <c r="AE121" s="5">
        <f t="shared" si="94"/>
        <v>0</v>
      </c>
      <c r="AF121" s="4"/>
      <c r="AG121" s="4"/>
      <c r="AH121" s="5">
        <f t="shared" si="95"/>
        <v>0</v>
      </c>
      <c r="AI121" s="4"/>
      <c r="AJ121" s="4"/>
      <c r="AK121" s="5">
        <f t="shared" si="96"/>
        <v>0</v>
      </c>
      <c r="AL121" s="5">
        <f t="shared" si="97"/>
        <v>2692.97</v>
      </c>
      <c r="AM121" s="12">
        <f t="shared" si="98"/>
        <v>0</v>
      </c>
      <c r="AN121" s="5">
        <v>800</v>
      </c>
    </row>
    <row r="122" spans="1:40" x14ac:dyDescent="0.45">
      <c r="A122" s="3" t="s">
        <v>129</v>
      </c>
      <c r="B122" s="5">
        <f>596.28</f>
        <v>596.28</v>
      </c>
      <c r="C122" s="4"/>
      <c r="D122" s="5">
        <f t="shared" si="85"/>
        <v>-596.28</v>
      </c>
      <c r="E122" s="5">
        <f>1026</f>
        <v>1026</v>
      </c>
      <c r="F122" s="4"/>
      <c r="G122" s="5">
        <f t="shared" si="86"/>
        <v>-1026</v>
      </c>
      <c r="H122" s="4"/>
      <c r="I122" s="4"/>
      <c r="J122" s="5">
        <f t="shared" si="87"/>
        <v>0</v>
      </c>
      <c r="K122" s="4"/>
      <c r="L122" s="4"/>
      <c r="M122" s="5">
        <f t="shared" si="88"/>
        <v>0</v>
      </c>
      <c r="N122" s="4"/>
      <c r="O122" s="4"/>
      <c r="P122" s="5">
        <f t="shared" si="89"/>
        <v>0</v>
      </c>
      <c r="Q122" s="4"/>
      <c r="R122" s="4"/>
      <c r="S122" s="5">
        <f t="shared" si="90"/>
        <v>0</v>
      </c>
      <c r="T122" s="4"/>
      <c r="U122" s="4"/>
      <c r="V122" s="5">
        <f t="shared" si="91"/>
        <v>0</v>
      </c>
      <c r="W122" s="4"/>
      <c r="X122" s="4"/>
      <c r="Y122" s="5">
        <f t="shared" si="92"/>
        <v>0</v>
      </c>
      <c r="Z122" s="4"/>
      <c r="AA122" s="4"/>
      <c r="AB122" s="5">
        <f t="shared" si="93"/>
        <v>0</v>
      </c>
      <c r="AC122" s="4"/>
      <c r="AD122" s="4"/>
      <c r="AE122" s="5">
        <f t="shared" si="94"/>
        <v>0</v>
      </c>
      <c r="AF122" s="4"/>
      <c r="AG122" s="4"/>
      <c r="AH122" s="5">
        <f t="shared" si="95"/>
        <v>0</v>
      </c>
      <c r="AI122" s="4"/>
      <c r="AJ122" s="4"/>
      <c r="AK122" s="5">
        <f t="shared" si="96"/>
        <v>0</v>
      </c>
      <c r="AL122" s="5">
        <f t="shared" si="97"/>
        <v>1622.28</v>
      </c>
      <c r="AM122" s="12">
        <f t="shared" si="98"/>
        <v>0</v>
      </c>
      <c r="AN122" s="5">
        <v>800</v>
      </c>
    </row>
    <row r="123" spans="1:40" x14ac:dyDescent="0.45">
      <c r="A123" s="3" t="s">
        <v>130</v>
      </c>
      <c r="B123" s="4"/>
      <c r="C123" s="4"/>
      <c r="D123" s="5">
        <f t="shared" si="85"/>
        <v>0</v>
      </c>
      <c r="E123" s="5">
        <f>1496.46</f>
        <v>1496.46</v>
      </c>
      <c r="F123" s="4"/>
      <c r="G123" s="5">
        <f t="shared" si="86"/>
        <v>-1496.46</v>
      </c>
      <c r="H123" s="4"/>
      <c r="I123" s="4"/>
      <c r="J123" s="5">
        <f t="shared" si="87"/>
        <v>0</v>
      </c>
      <c r="K123" s="4"/>
      <c r="L123" s="4"/>
      <c r="M123" s="5">
        <f t="shared" si="88"/>
        <v>0</v>
      </c>
      <c r="N123" s="4"/>
      <c r="O123" s="4"/>
      <c r="P123" s="5">
        <f t="shared" si="89"/>
        <v>0</v>
      </c>
      <c r="Q123" s="4"/>
      <c r="R123" s="4"/>
      <c r="S123" s="5">
        <f t="shared" si="90"/>
        <v>0</v>
      </c>
      <c r="T123" s="4"/>
      <c r="U123" s="4"/>
      <c r="V123" s="5">
        <f t="shared" si="91"/>
        <v>0</v>
      </c>
      <c r="W123" s="4"/>
      <c r="X123" s="4"/>
      <c r="Y123" s="5">
        <f t="shared" si="92"/>
        <v>0</v>
      </c>
      <c r="Z123" s="4"/>
      <c r="AA123" s="4"/>
      <c r="AB123" s="5">
        <f t="shared" si="93"/>
        <v>0</v>
      </c>
      <c r="AC123" s="4"/>
      <c r="AD123" s="4"/>
      <c r="AE123" s="5">
        <f t="shared" si="94"/>
        <v>0</v>
      </c>
      <c r="AF123" s="4"/>
      <c r="AG123" s="4"/>
      <c r="AH123" s="5">
        <f t="shared" si="95"/>
        <v>0</v>
      </c>
      <c r="AI123" s="4"/>
      <c r="AJ123" s="4"/>
      <c r="AK123" s="5">
        <f t="shared" si="96"/>
        <v>0</v>
      </c>
      <c r="AL123" s="5">
        <f t="shared" si="97"/>
        <v>1496.46</v>
      </c>
      <c r="AM123" s="12">
        <f t="shared" si="98"/>
        <v>0</v>
      </c>
      <c r="AN123" s="5">
        <v>0</v>
      </c>
    </row>
    <row r="124" spans="1:40" x14ac:dyDescent="0.45">
      <c r="A124" s="3" t="s">
        <v>131</v>
      </c>
      <c r="B124" s="4"/>
      <c r="C124" s="4"/>
      <c r="D124" s="5">
        <f t="shared" si="85"/>
        <v>0</v>
      </c>
      <c r="E124" s="4"/>
      <c r="F124" s="4"/>
      <c r="G124" s="5">
        <f t="shared" si="86"/>
        <v>0</v>
      </c>
      <c r="H124" s="4"/>
      <c r="I124" s="4"/>
      <c r="J124" s="5">
        <f t="shared" si="87"/>
        <v>0</v>
      </c>
      <c r="K124" s="4"/>
      <c r="L124" s="4"/>
      <c r="M124" s="5">
        <f t="shared" si="88"/>
        <v>0</v>
      </c>
      <c r="N124" s="4"/>
      <c r="O124" s="4"/>
      <c r="P124" s="5">
        <f t="shared" si="89"/>
        <v>0</v>
      </c>
      <c r="Q124" s="4"/>
      <c r="R124" s="4"/>
      <c r="S124" s="5">
        <f t="shared" si="90"/>
        <v>0</v>
      </c>
      <c r="T124" s="4"/>
      <c r="U124" s="4"/>
      <c r="V124" s="5">
        <f t="shared" si="91"/>
        <v>0</v>
      </c>
      <c r="W124" s="4"/>
      <c r="X124" s="4"/>
      <c r="Y124" s="5">
        <f t="shared" si="92"/>
        <v>0</v>
      </c>
      <c r="Z124" s="4"/>
      <c r="AA124" s="4"/>
      <c r="AB124" s="5">
        <f t="shared" si="93"/>
        <v>0</v>
      </c>
      <c r="AC124" s="4"/>
      <c r="AD124" s="4"/>
      <c r="AE124" s="5">
        <f t="shared" si="94"/>
        <v>0</v>
      </c>
      <c r="AF124" s="4"/>
      <c r="AG124" s="4"/>
      <c r="AH124" s="5">
        <f t="shared" si="95"/>
        <v>0</v>
      </c>
      <c r="AI124" s="4"/>
      <c r="AJ124" s="4"/>
      <c r="AK124" s="5">
        <f t="shared" si="96"/>
        <v>0</v>
      </c>
      <c r="AL124" s="5">
        <f t="shared" si="97"/>
        <v>0</v>
      </c>
      <c r="AM124" s="12">
        <f t="shared" si="98"/>
        <v>0</v>
      </c>
      <c r="AN124" s="5">
        <v>0</v>
      </c>
    </row>
    <row r="125" spans="1:40" x14ac:dyDescent="0.45">
      <c r="A125" s="3" t="s">
        <v>132</v>
      </c>
      <c r="B125" s="6">
        <f>(((((((((B115)+(B116))+(B117))+(B118))+(B119))+(B120))+(B121))+(B122))+(B123))+(B124)</f>
        <v>6645.7399999999989</v>
      </c>
      <c r="C125" s="6">
        <f>(((((((((C115)+(C116))+(C117))+(C118))+(C119))+(C120))+(C121))+(C122))+(C123))+(C124)</f>
        <v>1458.33</v>
      </c>
      <c r="D125" s="6">
        <f t="shared" si="85"/>
        <v>-5187.4099999999989</v>
      </c>
      <c r="E125" s="6">
        <f>(((((((((E115)+(E116))+(E117))+(E118))+(E119))+(E120))+(E121))+(E122))+(E123))+(E124)</f>
        <v>5413.51</v>
      </c>
      <c r="F125" s="6">
        <f>(((((((((F115)+(F116))+(F117))+(F118))+(F119))+(F120))+(F121))+(F122))+(F123))+(F124)</f>
        <v>1458.33</v>
      </c>
      <c r="G125" s="6">
        <f t="shared" si="86"/>
        <v>-3955.1800000000003</v>
      </c>
      <c r="H125" s="6">
        <f>(((((((((H115)+(H116))+(H117))+(H118))+(H119))+(H120))+(H121))+(H122))+(H123))+(H124)</f>
        <v>0</v>
      </c>
      <c r="I125" s="6">
        <f>(((((((((I115)+(I116))+(I117))+(I118))+(I119))+(I120))+(I121))+(I122))+(I123))+(I124)</f>
        <v>1458.33</v>
      </c>
      <c r="J125" s="6">
        <f t="shared" si="87"/>
        <v>1458.33</v>
      </c>
      <c r="K125" s="6">
        <f>(((((((((K115)+(K116))+(K117))+(K118))+(K119))+(K120))+(K121))+(K122))+(K123))+(K124)</f>
        <v>0</v>
      </c>
      <c r="L125" s="6">
        <f>(((((((((L115)+(L116))+(L117))+(L118))+(L119))+(L120))+(L121))+(L122))+(L123))+(L124)</f>
        <v>1458.33</v>
      </c>
      <c r="M125" s="6">
        <f t="shared" si="88"/>
        <v>1458.33</v>
      </c>
      <c r="N125" s="6">
        <f>(((((((((N115)+(N116))+(N117))+(N118))+(N119))+(N120))+(N121))+(N122))+(N123))+(N124)</f>
        <v>0</v>
      </c>
      <c r="O125" s="6">
        <f>(((((((((O115)+(O116))+(O117))+(O118))+(O119))+(O120))+(O121))+(O122))+(O123))+(O124)</f>
        <v>1458.33</v>
      </c>
      <c r="P125" s="6">
        <f t="shared" si="89"/>
        <v>1458.33</v>
      </c>
      <c r="Q125" s="6">
        <f>(((((((((Q115)+(Q116))+(Q117))+(Q118))+(Q119))+(Q120))+(Q121))+(Q122))+(Q123))+(Q124)</f>
        <v>0</v>
      </c>
      <c r="R125" s="6">
        <f>(((((((((R115)+(R116))+(R117))+(R118))+(R119))+(R120))+(R121))+(R122))+(R123))+(R124)</f>
        <v>1458.33</v>
      </c>
      <c r="S125" s="6">
        <f t="shared" si="90"/>
        <v>1458.33</v>
      </c>
      <c r="T125" s="6">
        <f>(((((((((T115)+(T116))+(T117))+(T118))+(T119))+(T120))+(T121))+(T122))+(T123))+(T124)</f>
        <v>0</v>
      </c>
      <c r="U125" s="6">
        <f>(((((((((U115)+(U116))+(U117))+(U118))+(U119))+(U120))+(U121))+(U122))+(U123))+(U124)</f>
        <v>1458.33</v>
      </c>
      <c r="V125" s="6">
        <f t="shared" si="91"/>
        <v>1458.33</v>
      </c>
      <c r="W125" s="6">
        <f>(((((((((W115)+(W116))+(W117))+(W118))+(W119))+(W120))+(W121))+(W122))+(W123))+(W124)</f>
        <v>0</v>
      </c>
      <c r="X125" s="6">
        <f>(((((((((X115)+(X116))+(X117))+(X118))+(X119))+(X120))+(X121))+(X122))+(X123))+(X124)</f>
        <v>1458.33</v>
      </c>
      <c r="Y125" s="6">
        <f t="shared" si="92"/>
        <v>1458.33</v>
      </c>
      <c r="Z125" s="6">
        <f>(((((((((Z115)+(Z116))+(Z117))+(Z118))+(Z119))+(Z120))+(Z121))+(Z122))+(Z123))+(Z124)</f>
        <v>0</v>
      </c>
      <c r="AA125" s="6">
        <f>(((((((((AA115)+(AA116))+(AA117))+(AA118))+(AA119))+(AA120))+(AA121))+(AA122))+(AA123))+(AA124)</f>
        <v>1458.33</v>
      </c>
      <c r="AB125" s="6">
        <f t="shared" si="93"/>
        <v>1458.33</v>
      </c>
      <c r="AC125" s="6">
        <f>(((((((((AC115)+(AC116))+(AC117))+(AC118))+(AC119))+(AC120))+(AC121))+(AC122))+(AC123))+(AC124)</f>
        <v>0</v>
      </c>
      <c r="AD125" s="6">
        <f>(((((((((AD115)+(AD116))+(AD117))+(AD118))+(AD119))+(AD120))+(AD121))+(AD122))+(AD123))+(AD124)</f>
        <v>1458.33</v>
      </c>
      <c r="AE125" s="6">
        <f t="shared" si="94"/>
        <v>1458.33</v>
      </c>
      <c r="AF125" s="6">
        <f>(((((((((AF115)+(AF116))+(AF117))+(AF118))+(AF119))+(AF120))+(AF121))+(AF122))+(AF123))+(AF124)</f>
        <v>0</v>
      </c>
      <c r="AG125" s="6">
        <f>(((((((((AG115)+(AG116))+(AG117))+(AG118))+(AG119))+(AG120))+(AG121))+(AG122))+(AG123))+(AG124)</f>
        <v>1458.33</v>
      </c>
      <c r="AH125" s="6">
        <f t="shared" si="95"/>
        <v>1458.33</v>
      </c>
      <c r="AI125" s="6">
        <f>(((((((((AI115)+(AI116))+(AI117))+(AI118))+(AI119))+(AI120))+(AI121))+(AI122))+(AI123))+(AI124)</f>
        <v>0</v>
      </c>
      <c r="AJ125" s="6">
        <f>(((((((((AJ115)+(AJ116))+(AJ117))+(AJ118))+(AJ119))+(AJ120))+(AJ121))+(AJ122))+(AJ123))+(AJ124)</f>
        <v>1458.37</v>
      </c>
      <c r="AK125" s="6">
        <f t="shared" si="96"/>
        <v>1458.37</v>
      </c>
      <c r="AL125" s="6">
        <f t="shared" si="97"/>
        <v>12059.25</v>
      </c>
      <c r="AM125" s="13">
        <f t="shared" si="98"/>
        <v>17500</v>
      </c>
      <c r="AN125" s="6">
        <v>3600</v>
      </c>
    </row>
    <row r="126" spans="1:40" x14ac:dyDescent="0.45">
      <c r="A126" s="3" t="s">
        <v>133</v>
      </c>
      <c r="B126" s="6">
        <f>((((((((((((((((((B78)+(B79))+(B80))+(B81))+(B82))+(B83))+(B84))+(B85))+(B86))+(B87))+(B88))+(B89))+(B90))+(B91))+(B92))+(B112))+(B113))+(B114))+(B125)</f>
        <v>37801.549999999996</v>
      </c>
      <c r="C126" s="6">
        <f>((((((((((((((((((C78)+(C79))+(C80))+(C81))+(C82))+(C83))+(C84))+(C85))+(C86))+(C87))+(C88))+(C89))+(C90))+(C91))+(C92))+(C112))+(C113))+(C114))+(C125)</f>
        <v>47474.990000000013</v>
      </c>
      <c r="D126" s="6">
        <f t="shared" si="85"/>
        <v>9673.4400000000169</v>
      </c>
      <c r="E126" s="6">
        <f>((((((((((((((((((E78)+(E79))+(E80))+(E81))+(E82))+(E83))+(E84))+(E85))+(E86))+(E87))+(E88))+(E89))+(E90))+(E91))+(E92))+(E112))+(E113))+(E114))+(E125)</f>
        <v>26567.1</v>
      </c>
      <c r="F126" s="6">
        <f>((((((((((((((((((F78)+(F79))+(F80))+(F81))+(F82))+(F83))+(F84))+(F85))+(F86))+(F87))+(F88))+(F89))+(F90))+(F91))+(F92))+(F112))+(F113))+(F114))+(F125)</f>
        <v>47474.990000000013</v>
      </c>
      <c r="G126" s="6">
        <f t="shared" si="86"/>
        <v>20907.890000000014</v>
      </c>
      <c r="H126" s="6">
        <f>((((((((((((((((((H78)+(H79))+(H80))+(H81))+(H82))+(H83))+(H84))+(H85))+(H86))+(H87))+(H88))+(H89))+(H90))+(H91))+(H92))+(H112))+(H113))+(H114))+(H125)</f>
        <v>30772.649999999998</v>
      </c>
      <c r="I126" s="6">
        <f>((((((((((((((((((I78)+(I79))+(I80))+(I81))+(I82))+(I83))+(I84))+(I85))+(I86))+(I87))+(I88))+(I89))+(I90))+(I91))+(I92))+(I112))+(I113))+(I114))+(I125)</f>
        <v>47474.990000000013</v>
      </c>
      <c r="J126" s="6">
        <f t="shared" si="87"/>
        <v>16702.340000000015</v>
      </c>
      <c r="K126" s="6">
        <f>((((((((((((((((((K78)+(K79))+(K80))+(K81))+(K82))+(K83))+(K84))+(K85))+(K86))+(K87))+(K88))+(K89))+(K90))+(K91))+(K92))+(K112))+(K113))+(K114))+(K125)</f>
        <v>26723.05</v>
      </c>
      <c r="L126" s="6">
        <f>((((((((((((((((((L78)+(L79))+(L80))+(L81))+(L82))+(L83))+(L84))+(L85))+(L86))+(L87))+(L88))+(L89))+(L90))+(L91))+(L92))+(L112))+(L113))+(L114))+(L125)</f>
        <v>47474.990000000013</v>
      </c>
      <c r="M126" s="6">
        <f t="shared" si="88"/>
        <v>20751.940000000013</v>
      </c>
      <c r="N126" s="6">
        <f>((((((((((((((((((N78)+(N79))+(N80))+(N81))+(N82))+(N83))+(N84))+(N85))+(N86))+(N87))+(N88))+(N89))+(N90))+(N91))+(N92))+(N112))+(N113))+(N114))+(N125)</f>
        <v>53280.319999999992</v>
      </c>
      <c r="O126" s="6">
        <f>((((((((((((((((((O78)+(O79))+(O80))+(O81))+(O82))+(O83))+(O84))+(O85))+(O86))+(O87))+(O88))+(O89))+(O90))+(O91))+(O92))+(O112))+(O113))+(O114))+(O125)</f>
        <v>47474.990000000013</v>
      </c>
      <c r="P126" s="6">
        <f t="shared" si="89"/>
        <v>-5805.3299999999799</v>
      </c>
      <c r="Q126" s="6">
        <f>((((((((((((((((((Q78)+(Q79))+(Q80))+(Q81))+(Q82))+(Q83))+(Q84))+(Q85))+(Q86))+(Q87))+(Q88))+(Q89))+(Q90))+(Q91))+(Q92))+(Q112))+(Q113))+(Q114))+(Q125)</f>
        <v>19311.780000000002</v>
      </c>
      <c r="R126" s="6">
        <f>((((((((((((((((((R78)+(R79))+(R80))+(R81))+(R82))+(R83))+(R84))+(R85))+(R86))+(R87))+(R88))+(R89))+(R90))+(R91))+(R92))+(R112))+(R113))+(R114))+(R125)</f>
        <v>47474.990000000013</v>
      </c>
      <c r="S126" s="6">
        <f t="shared" si="90"/>
        <v>28163.21000000001</v>
      </c>
      <c r="T126" s="6">
        <f>((((((((((((((((((T78)+(T79))+(T80))+(T81))+(T82))+(T83))+(T84))+(T85))+(T86))+(T87))+(T88))+(T89))+(T90))+(T91))+(T92))+(T112))+(T113))+(T114))+(T125)</f>
        <v>18631.04</v>
      </c>
      <c r="U126" s="6">
        <f>((((((((((((((((((U78)+(U79))+(U80))+(U81))+(U82))+(U83))+(U84))+(U85))+(U86))+(U87))+(U88))+(U89))+(U90))+(U91))+(U92))+(U112))+(U113))+(U114))+(U125)</f>
        <v>47474.990000000013</v>
      </c>
      <c r="V126" s="6">
        <f t="shared" si="91"/>
        <v>28843.950000000012</v>
      </c>
      <c r="W126" s="6">
        <f>((((((((((((((((((W78)+(W79))+(W80))+(W81))+(W82))+(W83))+(W84))+(W85))+(W86))+(W87))+(W88))+(W89))+(W90))+(W91))+(W92))+(W112))+(W113))+(W114))+(W125)</f>
        <v>4646.0599999999995</v>
      </c>
      <c r="X126" s="6">
        <f>((((((((((((((((((X78)+(X79))+(X80))+(X81))+(X82))+(X83))+(X84))+(X85))+(X86))+(X87))+(X88))+(X89))+(X90))+(X91))+(X92))+(X112))+(X113))+(X114))+(X125)</f>
        <v>47474.990000000013</v>
      </c>
      <c r="Y126" s="6">
        <f t="shared" si="92"/>
        <v>42828.930000000015</v>
      </c>
      <c r="Z126" s="6">
        <f>((((((((((((((((((Z78)+(Z79))+(Z80))+(Z81))+(Z82))+(Z83))+(Z84))+(Z85))+(Z86))+(Z87))+(Z88))+(Z89))+(Z90))+(Z91))+(Z92))+(Z112))+(Z113))+(Z114))+(Z125)</f>
        <v>0</v>
      </c>
      <c r="AA126" s="6">
        <f>((((((((((((((((((AA78)+(AA79))+(AA80))+(AA81))+(AA82))+(AA83))+(AA84))+(AA85))+(AA86))+(AA87))+(AA88))+(AA89))+(AA90))+(AA91))+(AA92))+(AA112))+(AA113))+(AA114))+(AA125)</f>
        <v>47474.990000000013</v>
      </c>
      <c r="AB126" s="6">
        <f t="shared" si="93"/>
        <v>47474.990000000013</v>
      </c>
      <c r="AC126" s="6">
        <f>((((((((((((((((((AC78)+(AC79))+(AC80))+(AC81))+(AC82))+(AC83))+(AC84))+(AC85))+(AC86))+(AC87))+(AC88))+(AC89))+(AC90))+(AC91))+(AC92))+(AC112))+(AC113))+(AC114))+(AC125)</f>
        <v>0</v>
      </c>
      <c r="AD126" s="6">
        <f>((((((((((((((((((AD78)+(AD79))+(AD80))+(AD81))+(AD82))+(AD83))+(AD84))+(AD85))+(AD86))+(AD87))+(AD88))+(AD89))+(AD90))+(AD91))+(AD92))+(AD112))+(AD113))+(AD114))+(AD125)</f>
        <v>47474.990000000013</v>
      </c>
      <c r="AE126" s="6">
        <f t="shared" si="94"/>
        <v>47474.990000000013</v>
      </c>
      <c r="AF126" s="6">
        <f>((((((((((((((((((AF78)+(AF79))+(AF80))+(AF81))+(AF82))+(AF83))+(AF84))+(AF85))+(AF86))+(AF87))+(AF88))+(AF89))+(AF90))+(AF91))+(AF92))+(AF112))+(AF113))+(AF114))+(AF125)</f>
        <v>0</v>
      </c>
      <c r="AG126" s="6">
        <f>((((((((((((((((((AG78)+(AG79))+(AG80))+(AG81))+(AG82))+(AG83))+(AG84))+(AG85))+(AG86))+(AG87))+(AG88))+(AG89))+(AG90))+(AG91))+(AG92))+(AG112))+(AG113))+(AG114))+(AG125)</f>
        <v>47474.990000000013</v>
      </c>
      <c r="AH126" s="6">
        <f t="shared" si="95"/>
        <v>47474.990000000013</v>
      </c>
      <c r="AI126" s="6">
        <f>((((((((((((((((((AI78)+(AI79))+(AI80))+(AI81))+(AI82))+(AI83))+(AI84))+(AI85))+(AI86))+(AI87))+(AI88))+(AI89))+(AI90))+(AI91))+(AI92))+(AI112))+(AI113))+(AI114))+(AI125)</f>
        <v>0</v>
      </c>
      <c r="AJ126" s="6">
        <f>((((((((((((((((((AJ78)+(AJ79))+(AJ80))+(AJ81))+(AJ82))+(AJ83))+(AJ84))+(AJ85))+(AJ86))+(AJ87))+(AJ88))+(AJ89))+(AJ90))+(AJ91))+(AJ92))+(AJ112))+(AJ113))+(AJ114))+(AJ125)</f>
        <v>47475.11</v>
      </c>
      <c r="AK126" s="6">
        <f t="shared" si="96"/>
        <v>47475.11</v>
      </c>
      <c r="AL126" s="6">
        <f t="shared" si="97"/>
        <v>217733.55</v>
      </c>
      <c r="AM126" s="13">
        <f t="shared" si="98"/>
        <v>569700</v>
      </c>
      <c r="AN126" s="6"/>
    </row>
    <row r="127" spans="1:40" x14ac:dyDescent="0.45">
      <c r="A127" s="3" t="s">
        <v>134</v>
      </c>
      <c r="B127" s="4"/>
      <c r="C127" s="4"/>
      <c r="D127" s="5">
        <f t="shared" si="85"/>
        <v>0</v>
      </c>
      <c r="E127" s="4"/>
      <c r="F127" s="4"/>
      <c r="G127" s="5">
        <f t="shared" si="86"/>
        <v>0</v>
      </c>
      <c r="H127" s="4"/>
      <c r="I127" s="4"/>
      <c r="J127" s="5">
        <f t="shared" si="87"/>
        <v>0</v>
      </c>
      <c r="K127" s="4"/>
      <c r="L127" s="4"/>
      <c r="M127" s="5">
        <f t="shared" si="88"/>
        <v>0</v>
      </c>
      <c r="N127" s="4"/>
      <c r="O127" s="4"/>
      <c r="P127" s="5">
        <f t="shared" si="89"/>
        <v>0</v>
      </c>
      <c r="Q127" s="4"/>
      <c r="R127" s="4"/>
      <c r="S127" s="5">
        <f t="shared" si="90"/>
        <v>0</v>
      </c>
      <c r="T127" s="4"/>
      <c r="U127" s="4"/>
      <c r="V127" s="5">
        <f t="shared" si="91"/>
        <v>0</v>
      </c>
      <c r="W127" s="4"/>
      <c r="X127" s="4"/>
      <c r="Y127" s="5">
        <f t="shared" si="92"/>
        <v>0</v>
      </c>
      <c r="Z127" s="4"/>
      <c r="AA127" s="4"/>
      <c r="AB127" s="5">
        <f t="shared" si="93"/>
        <v>0</v>
      </c>
      <c r="AC127" s="4"/>
      <c r="AD127" s="4"/>
      <c r="AE127" s="5">
        <f t="shared" si="94"/>
        <v>0</v>
      </c>
      <c r="AF127" s="4"/>
      <c r="AG127" s="4"/>
      <c r="AH127" s="5">
        <f t="shared" si="95"/>
        <v>0</v>
      </c>
      <c r="AI127" s="4"/>
      <c r="AJ127" s="4"/>
      <c r="AK127" s="5">
        <f t="shared" si="96"/>
        <v>0</v>
      </c>
      <c r="AL127" s="5">
        <f t="shared" si="97"/>
        <v>0</v>
      </c>
      <c r="AM127" s="12">
        <f t="shared" si="98"/>
        <v>0</v>
      </c>
      <c r="AN127" s="5">
        <v>0</v>
      </c>
    </row>
    <row r="128" spans="1:40" x14ac:dyDescent="0.45">
      <c r="A128" s="3" t="s">
        <v>135</v>
      </c>
      <c r="B128" s="4"/>
      <c r="C128" s="4"/>
      <c r="D128" s="5">
        <f t="shared" si="85"/>
        <v>0</v>
      </c>
      <c r="E128" s="4"/>
      <c r="F128" s="4"/>
      <c r="G128" s="5">
        <f t="shared" si="86"/>
        <v>0</v>
      </c>
      <c r="H128" s="4"/>
      <c r="I128" s="4"/>
      <c r="J128" s="5">
        <f t="shared" si="87"/>
        <v>0</v>
      </c>
      <c r="K128" s="4"/>
      <c r="L128" s="4"/>
      <c r="M128" s="5">
        <f t="shared" si="88"/>
        <v>0</v>
      </c>
      <c r="N128" s="4"/>
      <c r="O128" s="4"/>
      <c r="P128" s="5">
        <f t="shared" si="89"/>
        <v>0</v>
      </c>
      <c r="Q128" s="4"/>
      <c r="R128" s="4"/>
      <c r="S128" s="5">
        <f t="shared" si="90"/>
        <v>0</v>
      </c>
      <c r="T128" s="4"/>
      <c r="U128" s="4"/>
      <c r="V128" s="5">
        <f t="shared" si="91"/>
        <v>0</v>
      </c>
      <c r="W128" s="4"/>
      <c r="X128" s="4"/>
      <c r="Y128" s="5">
        <f t="shared" si="92"/>
        <v>0</v>
      </c>
      <c r="Z128" s="4"/>
      <c r="AA128" s="4"/>
      <c r="AB128" s="5">
        <f t="shared" si="93"/>
        <v>0</v>
      </c>
      <c r="AC128" s="4"/>
      <c r="AD128" s="4"/>
      <c r="AE128" s="5">
        <f t="shared" si="94"/>
        <v>0</v>
      </c>
      <c r="AF128" s="4"/>
      <c r="AG128" s="4"/>
      <c r="AH128" s="5">
        <f t="shared" si="95"/>
        <v>0</v>
      </c>
      <c r="AI128" s="4"/>
      <c r="AJ128" s="4"/>
      <c r="AK128" s="5">
        <f t="shared" si="96"/>
        <v>0</v>
      </c>
      <c r="AL128" s="5">
        <f t="shared" si="97"/>
        <v>0</v>
      </c>
      <c r="AM128" s="12">
        <f t="shared" si="98"/>
        <v>0</v>
      </c>
      <c r="AN128" s="5">
        <v>0</v>
      </c>
    </row>
    <row r="129" spans="1:44" x14ac:dyDescent="0.45">
      <c r="A129" s="3" t="s">
        <v>136</v>
      </c>
      <c r="B129" s="4"/>
      <c r="C129" s="4"/>
      <c r="D129" s="5">
        <f t="shared" si="85"/>
        <v>0</v>
      </c>
      <c r="E129" s="5">
        <f>613.01</f>
        <v>613.01</v>
      </c>
      <c r="F129" s="4"/>
      <c r="G129" s="5">
        <f t="shared" si="86"/>
        <v>-613.01</v>
      </c>
      <c r="H129" s="4"/>
      <c r="I129" s="4"/>
      <c r="J129" s="5">
        <f t="shared" si="87"/>
        <v>0</v>
      </c>
      <c r="K129" s="4"/>
      <c r="L129" s="4"/>
      <c r="M129" s="5">
        <f t="shared" si="88"/>
        <v>0</v>
      </c>
      <c r="N129" s="4"/>
      <c r="O129" s="4"/>
      <c r="P129" s="5">
        <f t="shared" si="89"/>
        <v>0</v>
      </c>
      <c r="Q129" s="4"/>
      <c r="R129" s="4"/>
      <c r="S129" s="5">
        <f t="shared" si="90"/>
        <v>0</v>
      </c>
      <c r="T129" s="4"/>
      <c r="U129" s="4"/>
      <c r="V129" s="5">
        <f t="shared" si="91"/>
        <v>0</v>
      </c>
      <c r="W129" s="4"/>
      <c r="X129" s="4"/>
      <c r="Y129" s="5">
        <f t="shared" si="92"/>
        <v>0</v>
      </c>
      <c r="Z129" s="4"/>
      <c r="AA129" s="4"/>
      <c r="AB129" s="5">
        <f t="shared" si="93"/>
        <v>0</v>
      </c>
      <c r="AC129" s="4"/>
      <c r="AD129" s="4"/>
      <c r="AE129" s="5">
        <f t="shared" si="94"/>
        <v>0</v>
      </c>
      <c r="AF129" s="4"/>
      <c r="AG129" s="4"/>
      <c r="AH129" s="5">
        <f t="shared" si="95"/>
        <v>0</v>
      </c>
      <c r="AI129" s="4"/>
      <c r="AJ129" s="4"/>
      <c r="AK129" s="5">
        <f t="shared" si="96"/>
        <v>0</v>
      </c>
      <c r="AL129" s="5">
        <f t="shared" si="97"/>
        <v>613.01</v>
      </c>
      <c r="AM129" s="12">
        <f t="shared" si="98"/>
        <v>0</v>
      </c>
      <c r="AN129" s="5">
        <v>0</v>
      </c>
    </row>
    <row r="130" spans="1:44" x14ac:dyDescent="0.45">
      <c r="A130" s="3" t="s">
        <v>137</v>
      </c>
      <c r="B130" s="4"/>
      <c r="C130" s="4"/>
      <c r="D130" s="5">
        <f t="shared" si="85"/>
        <v>0</v>
      </c>
      <c r="E130" s="4"/>
      <c r="F130" s="4"/>
      <c r="G130" s="5">
        <f t="shared" si="86"/>
        <v>0</v>
      </c>
      <c r="H130" s="4"/>
      <c r="I130" s="4"/>
      <c r="J130" s="5">
        <f t="shared" si="87"/>
        <v>0</v>
      </c>
      <c r="K130" s="4"/>
      <c r="L130" s="4"/>
      <c r="M130" s="5">
        <f t="shared" si="88"/>
        <v>0</v>
      </c>
      <c r="N130" s="4"/>
      <c r="O130" s="4"/>
      <c r="P130" s="5">
        <f t="shared" si="89"/>
        <v>0</v>
      </c>
      <c r="Q130" s="4"/>
      <c r="R130" s="4"/>
      <c r="S130" s="5">
        <f t="shared" si="90"/>
        <v>0</v>
      </c>
      <c r="T130" s="4"/>
      <c r="U130" s="4"/>
      <c r="V130" s="5">
        <f t="shared" si="91"/>
        <v>0</v>
      </c>
      <c r="W130" s="4"/>
      <c r="X130" s="4"/>
      <c r="Y130" s="5">
        <f t="shared" si="92"/>
        <v>0</v>
      </c>
      <c r="Z130" s="4"/>
      <c r="AA130" s="4"/>
      <c r="AB130" s="5">
        <f t="shared" si="93"/>
        <v>0</v>
      </c>
      <c r="AC130" s="4"/>
      <c r="AD130" s="4"/>
      <c r="AE130" s="5">
        <f t="shared" si="94"/>
        <v>0</v>
      </c>
      <c r="AF130" s="4"/>
      <c r="AG130" s="4"/>
      <c r="AH130" s="5">
        <f t="shared" si="95"/>
        <v>0</v>
      </c>
      <c r="AI130" s="4"/>
      <c r="AJ130" s="4"/>
      <c r="AK130" s="5">
        <f t="shared" si="96"/>
        <v>0</v>
      </c>
      <c r="AL130" s="5">
        <f t="shared" si="97"/>
        <v>0</v>
      </c>
      <c r="AM130" s="12">
        <f t="shared" si="98"/>
        <v>0</v>
      </c>
      <c r="AN130" s="5">
        <v>2800</v>
      </c>
      <c r="AR130" t="s">
        <v>183</v>
      </c>
    </row>
    <row r="131" spans="1:44" x14ac:dyDescent="0.45">
      <c r="A131" s="3" t="s">
        <v>138</v>
      </c>
      <c r="B131" s="4"/>
      <c r="C131" s="4"/>
      <c r="D131" s="5">
        <f t="shared" si="85"/>
        <v>0</v>
      </c>
      <c r="E131" s="4"/>
      <c r="F131" s="4"/>
      <c r="G131" s="5">
        <f t="shared" si="86"/>
        <v>0</v>
      </c>
      <c r="H131" s="4"/>
      <c r="I131" s="4"/>
      <c r="J131" s="5">
        <f t="shared" si="87"/>
        <v>0</v>
      </c>
      <c r="K131" s="4"/>
      <c r="L131" s="4"/>
      <c r="M131" s="5">
        <f t="shared" si="88"/>
        <v>0</v>
      </c>
      <c r="N131" s="5">
        <f>156.45</f>
        <v>156.44999999999999</v>
      </c>
      <c r="O131" s="4"/>
      <c r="P131" s="5">
        <f t="shared" si="89"/>
        <v>-156.44999999999999</v>
      </c>
      <c r="Q131" s="5">
        <f>87.84</f>
        <v>87.84</v>
      </c>
      <c r="R131" s="4"/>
      <c r="S131" s="5">
        <f t="shared" si="90"/>
        <v>-87.84</v>
      </c>
      <c r="T131" s="5">
        <f>158.03</f>
        <v>158.03</v>
      </c>
      <c r="U131" s="4"/>
      <c r="V131" s="5">
        <f t="shared" si="91"/>
        <v>-158.03</v>
      </c>
      <c r="W131" s="4"/>
      <c r="X131" s="4"/>
      <c r="Y131" s="5">
        <f t="shared" si="92"/>
        <v>0</v>
      </c>
      <c r="Z131" s="4"/>
      <c r="AA131" s="4"/>
      <c r="AB131" s="5">
        <f t="shared" si="93"/>
        <v>0</v>
      </c>
      <c r="AC131" s="4"/>
      <c r="AD131" s="4"/>
      <c r="AE131" s="5">
        <f t="shared" si="94"/>
        <v>0</v>
      </c>
      <c r="AF131" s="4"/>
      <c r="AG131" s="4"/>
      <c r="AH131" s="5">
        <f t="shared" si="95"/>
        <v>0</v>
      </c>
      <c r="AI131" s="4"/>
      <c r="AJ131" s="4"/>
      <c r="AK131" s="5">
        <f t="shared" si="96"/>
        <v>0</v>
      </c>
      <c r="AL131" s="5">
        <f t="shared" si="97"/>
        <v>402.32</v>
      </c>
      <c r="AM131" s="12">
        <f t="shared" si="98"/>
        <v>0</v>
      </c>
      <c r="AN131" s="5">
        <v>0</v>
      </c>
    </row>
    <row r="132" spans="1:44" x14ac:dyDescent="0.45">
      <c r="A132" s="3" t="s">
        <v>139</v>
      </c>
      <c r="B132" s="4"/>
      <c r="C132" s="4"/>
      <c r="D132" s="5">
        <f t="shared" si="85"/>
        <v>0</v>
      </c>
      <c r="E132" s="4"/>
      <c r="F132" s="4"/>
      <c r="G132" s="5">
        <f t="shared" si="86"/>
        <v>0</v>
      </c>
      <c r="H132" s="4"/>
      <c r="I132" s="4"/>
      <c r="J132" s="5">
        <f t="shared" si="87"/>
        <v>0</v>
      </c>
      <c r="K132" s="4"/>
      <c r="L132" s="4"/>
      <c r="M132" s="5">
        <f t="shared" si="88"/>
        <v>0</v>
      </c>
      <c r="N132" s="4"/>
      <c r="O132" s="4"/>
      <c r="P132" s="5">
        <f t="shared" si="89"/>
        <v>0</v>
      </c>
      <c r="Q132" s="4"/>
      <c r="R132" s="4"/>
      <c r="S132" s="5">
        <f t="shared" si="90"/>
        <v>0</v>
      </c>
      <c r="T132" s="4"/>
      <c r="U132" s="4"/>
      <c r="V132" s="5">
        <f t="shared" si="91"/>
        <v>0</v>
      </c>
      <c r="W132" s="4"/>
      <c r="X132" s="4"/>
      <c r="Y132" s="5">
        <f t="shared" si="92"/>
        <v>0</v>
      </c>
      <c r="Z132" s="4"/>
      <c r="AA132" s="4"/>
      <c r="AB132" s="5">
        <f t="shared" si="93"/>
        <v>0</v>
      </c>
      <c r="AC132" s="4"/>
      <c r="AD132" s="4"/>
      <c r="AE132" s="5">
        <f t="shared" si="94"/>
        <v>0</v>
      </c>
      <c r="AF132" s="4"/>
      <c r="AG132" s="4"/>
      <c r="AH132" s="5">
        <f t="shared" si="95"/>
        <v>0</v>
      </c>
      <c r="AI132" s="4"/>
      <c r="AJ132" s="4"/>
      <c r="AK132" s="5">
        <f t="shared" si="96"/>
        <v>0</v>
      </c>
      <c r="AL132" s="5">
        <f t="shared" si="97"/>
        <v>0</v>
      </c>
      <c r="AM132" s="12">
        <f t="shared" si="98"/>
        <v>0</v>
      </c>
      <c r="AN132" s="5">
        <v>0</v>
      </c>
    </row>
    <row r="133" spans="1:44" x14ac:dyDescent="0.45">
      <c r="A133" s="3" t="s">
        <v>140</v>
      </c>
      <c r="B133" s="6">
        <f>((((B128)+(B129))+(B130))+(B131))+(B132)</f>
        <v>0</v>
      </c>
      <c r="C133" s="6">
        <f>((((C128)+(C129))+(C130))+(C131))+(C132)</f>
        <v>0</v>
      </c>
      <c r="D133" s="6">
        <f t="shared" si="85"/>
        <v>0</v>
      </c>
      <c r="E133" s="6">
        <f>((((E128)+(E129))+(E130))+(E131))+(E132)</f>
        <v>613.01</v>
      </c>
      <c r="F133" s="6">
        <f>((((F128)+(F129))+(F130))+(F131))+(F132)</f>
        <v>0</v>
      </c>
      <c r="G133" s="6">
        <f t="shared" si="86"/>
        <v>-613.01</v>
      </c>
      <c r="H133" s="6">
        <f>((((H128)+(H129))+(H130))+(H131))+(H132)</f>
        <v>0</v>
      </c>
      <c r="I133" s="6">
        <f>((((I128)+(I129))+(I130))+(I131))+(I132)</f>
        <v>0</v>
      </c>
      <c r="J133" s="6">
        <f t="shared" si="87"/>
        <v>0</v>
      </c>
      <c r="K133" s="6">
        <f>((((K128)+(K129))+(K130))+(K131))+(K132)</f>
        <v>0</v>
      </c>
      <c r="L133" s="6">
        <f>((((L128)+(L129))+(L130))+(L131))+(L132)</f>
        <v>0</v>
      </c>
      <c r="M133" s="6">
        <f t="shared" si="88"/>
        <v>0</v>
      </c>
      <c r="N133" s="6">
        <f>((((N128)+(N129))+(N130))+(N131))+(N132)</f>
        <v>156.44999999999999</v>
      </c>
      <c r="O133" s="6">
        <f>((((O128)+(O129))+(O130))+(O131))+(O132)</f>
        <v>0</v>
      </c>
      <c r="P133" s="6">
        <f t="shared" si="89"/>
        <v>-156.44999999999999</v>
      </c>
      <c r="Q133" s="6">
        <f>((((Q128)+(Q129))+(Q130))+(Q131))+(Q132)</f>
        <v>87.84</v>
      </c>
      <c r="R133" s="6">
        <f>((((R128)+(R129))+(R130))+(R131))+(R132)</f>
        <v>0</v>
      </c>
      <c r="S133" s="6">
        <f t="shared" si="90"/>
        <v>-87.84</v>
      </c>
      <c r="T133" s="6">
        <f>((((T128)+(T129))+(T130))+(T131))+(T132)</f>
        <v>158.03</v>
      </c>
      <c r="U133" s="6">
        <f>((((U128)+(U129))+(U130))+(U131))+(U132)</f>
        <v>0</v>
      </c>
      <c r="V133" s="6">
        <f t="shared" si="91"/>
        <v>-158.03</v>
      </c>
      <c r="W133" s="6">
        <f>((((W128)+(W129))+(W130))+(W131))+(W132)</f>
        <v>0</v>
      </c>
      <c r="X133" s="6">
        <f>((((X128)+(X129))+(X130))+(X131))+(X132)</f>
        <v>0</v>
      </c>
      <c r="Y133" s="6">
        <f t="shared" si="92"/>
        <v>0</v>
      </c>
      <c r="Z133" s="6">
        <f>((((Z128)+(Z129))+(Z130))+(Z131))+(Z132)</f>
        <v>0</v>
      </c>
      <c r="AA133" s="6">
        <f>((((AA128)+(AA129))+(AA130))+(AA131))+(AA132)</f>
        <v>0</v>
      </c>
      <c r="AB133" s="6">
        <f t="shared" si="93"/>
        <v>0</v>
      </c>
      <c r="AC133" s="6">
        <f>((((AC128)+(AC129))+(AC130))+(AC131))+(AC132)</f>
        <v>0</v>
      </c>
      <c r="AD133" s="6">
        <f>((((AD128)+(AD129))+(AD130))+(AD131))+(AD132)</f>
        <v>0</v>
      </c>
      <c r="AE133" s="6">
        <f t="shared" si="94"/>
        <v>0</v>
      </c>
      <c r="AF133" s="6">
        <f>((((AF128)+(AF129))+(AF130))+(AF131))+(AF132)</f>
        <v>0</v>
      </c>
      <c r="AG133" s="6">
        <f>((((AG128)+(AG129))+(AG130))+(AG131))+(AG132)</f>
        <v>0</v>
      </c>
      <c r="AH133" s="6">
        <f t="shared" si="95"/>
        <v>0</v>
      </c>
      <c r="AI133" s="6">
        <f>((((AI128)+(AI129))+(AI130))+(AI131))+(AI132)</f>
        <v>0</v>
      </c>
      <c r="AJ133" s="6">
        <f>((((AJ128)+(AJ129))+(AJ130))+(AJ131))+(AJ132)</f>
        <v>0</v>
      </c>
      <c r="AK133" s="6">
        <f t="shared" si="96"/>
        <v>0</v>
      </c>
      <c r="AL133" s="6">
        <f t="shared" si="97"/>
        <v>1015.33</v>
      </c>
      <c r="AM133" s="13">
        <f t="shared" si="98"/>
        <v>0</v>
      </c>
      <c r="AN133" s="6">
        <v>2800</v>
      </c>
    </row>
    <row r="134" spans="1:44" x14ac:dyDescent="0.45">
      <c r="A134" s="3" t="s">
        <v>141</v>
      </c>
      <c r="B134" s="6" t="e">
        <f>((((((((((((((#REF!)+(#REF!))+(B126))+(B127))+(B133))+(#REF!))+(#REF!))+(#REF!))+(#REF!))+(#REF!))+(#REF!))+(#REF!))+(#REF!))+(#REF!))+(#REF!)</f>
        <v>#REF!</v>
      </c>
      <c r="C134" s="6" t="e">
        <f>((((((((((((((#REF!)+(#REF!))+(C126))+(C127))+(C133))+(#REF!))+(#REF!))+(#REF!))+(#REF!))+(#REF!))+(#REF!))+(#REF!))+(#REF!))+(#REF!))+(#REF!)</f>
        <v>#REF!</v>
      </c>
      <c r="D134" s="6" t="e">
        <f t="shared" ref="D134" si="99">(C134)-(B134)</f>
        <v>#REF!</v>
      </c>
      <c r="E134" s="6" t="e">
        <f>((((((((((((((#REF!)+(#REF!))+(E126))+(E127))+(E133))+(#REF!))+(#REF!))+(#REF!))+(#REF!))+(#REF!))+(#REF!))+(#REF!))+(#REF!))+(#REF!))+(#REF!)</f>
        <v>#REF!</v>
      </c>
      <c r="F134" s="6" t="e">
        <f>((((((((((((((#REF!)+(#REF!))+(F126))+(F127))+(F133))+(#REF!))+(#REF!))+(#REF!))+(#REF!))+(#REF!))+(#REF!))+(#REF!))+(#REF!))+(#REF!))+(#REF!)</f>
        <v>#REF!</v>
      </c>
      <c r="G134" s="6" t="e">
        <f t="shared" ref="G134" si="100">(F134)-(E134)</f>
        <v>#REF!</v>
      </c>
      <c r="H134" s="6" t="e">
        <f>((((((((((((((#REF!)+(#REF!))+(H126))+(H127))+(H133))+(#REF!))+(#REF!))+(#REF!))+(#REF!))+(#REF!))+(#REF!))+(#REF!))+(#REF!))+(#REF!))+(#REF!)</f>
        <v>#REF!</v>
      </c>
      <c r="I134" s="6" t="e">
        <f>((((((((((((((#REF!)+(#REF!))+(I126))+(I127))+(I133))+(#REF!))+(#REF!))+(#REF!))+(#REF!))+(#REF!))+(#REF!))+(#REF!))+(#REF!))+(#REF!))+(#REF!)</f>
        <v>#REF!</v>
      </c>
      <c r="J134" s="6" t="e">
        <f t="shared" ref="J134" si="101">(I134)-(H134)</f>
        <v>#REF!</v>
      </c>
      <c r="K134" s="6" t="e">
        <f>((((((((((((((#REF!)+(#REF!))+(K126))+(K127))+(K133))+(#REF!))+(#REF!))+(#REF!))+(#REF!))+(#REF!))+(#REF!))+(#REF!))+(#REF!))+(#REF!))+(#REF!)</f>
        <v>#REF!</v>
      </c>
      <c r="L134" s="6" t="e">
        <f>((((((((((((((#REF!)+(#REF!))+(L126))+(L127))+(L133))+(#REF!))+(#REF!))+(#REF!))+(#REF!))+(#REF!))+(#REF!))+(#REF!))+(#REF!))+(#REF!))+(#REF!)</f>
        <v>#REF!</v>
      </c>
      <c r="M134" s="6" t="e">
        <f t="shared" ref="M134" si="102">(L134)-(K134)</f>
        <v>#REF!</v>
      </c>
      <c r="N134" s="6" t="e">
        <f>((((((((((((((#REF!)+(#REF!))+(N126))+(N127))+(N133))+(#REF!))+(#REF!))+(#REF!))+(#REF!))+(#REF!))+(#REF!))+(#REF!))+(#REF!))+(#REF!))+(#REF!)</f>
        <v>#REF!</v>
      </c>
      <c r="O134" s="6" t="e">
        <f>((((((((((((((#REF!)+(#REF!))+(O126))+(O127))+(O133))+(#REF!))+(#REF!))+(#REF!))+(#REF!))+(#REF!))+(#REF!))+(#REF!))+(#REF!))+(#REF!))+(#REF!)</f>
        <v>#REF!</v>
      </c>
      <c r="P134" s="6" t="e">
        <f t="shared" ref="P134" si="103">(O134)-(N134)</f>
        <v>#REF!</v>
      </c>
      <c r="Q134" s="6" t="e">
        <f>((((((((((((((#REF!)+(#REF!))+(Q126))+(Q127))+(Q133))+(#REF!))+(#REF!))+(#REF!))+(#REF!))+(#REF!))+(#REF!))+(#REF!))+(#REF!))+(#REF!))+(#REF!)</f>
        <v>#REF!</v>
      </c>
      <c r="R134" s="6" t="e">
        <f>((((((((((((((#REF!)+(#REF!))+(R126))+(R127))+(R133))+(#REF!))+(#REF!))+(#REF!))+(#REF!))+(#REF!))+(#REF!))+(#REF!))+(#REF!))+(#REF!))+(#REF!)</f>
        <v>#REF!</v>
      </c>
      <c r="S134" s="6" t="e">
        <f t="shared" ref="S134" si="104">(R134)-(Q134)</f>
        <v>#REF!</v>
      </c>
      <c r="T134" s="6" t="e">
        <f>((((((((((((((#REF!)+(#REF!))+(T126))+(T127))+(T133))+(#REF!))+(#REF!))+(#REF!))+(#REF!))+(#REF!))+(#REF!))+(#REF!))+(#REF!))+(#REF!))+(#REF!)</f>
        <v>#REF!</v>
      </c>
      <c r="U134" s="6" t="e">
        <f>((((((((((((((#REF!)+(#REF!))+(U126))+(U127))+(U133))+(#REF!))+(#REF!))+(#REF!))+(#REF!))+(#REF!))+(#REF!))+(#REF!))+(#REF!))+(#REF!))+(#REF!)</f>
        <v>#REF!</v>
      </c>
      <c r="V134" s="6" t="e">
        <f t="shared" ref="V134" si="105">(U134)-(T134)</f>
        <v>#REF!</v>
      </c>
      <c r="W134" s="6" t="e">
        <f>((((((((((((((#REF!)+(#REF!))+(W126))+(W127))+(W133))+(#REF!))+(#REF!))+(#REF!))+(#REF!))+(#REF!))+(#REF!))+(#REF!))+(#REF!))+(#REF!))+(#REF!)</f>
        <v>#REF!</v>
      </c>
      <c r="X134" s="6" t="e">
        <f>((((((((((((((#REF!)+(#REF!))+(X126))+(X127))+(X133))+(#REF!))+(#REF!))+(#REF!))+(#REF!))+(#REF!))+(#REF!))+(#REF!))+(#REF!))+(#REF!))+(#REF!)</f>
        <v>#REF!</v>
      </c>
      <c r="Y134" s="6" t="e">
        <f t="shared" ref="Y134" si="106">(X134)-(W134)</f>
        <v>#REF!</v>
      </c>
      <c r="Z134" s="6" t="e">
        <f>((((((((((((((#REF!)+(#REF!))+(Z126))+(Z127))+(Z133))+(#REF!))+(#REF!))+(#REF!))+(#REF!))+(#REF!))+(#REF!))+(#REF!))+(#REF!))+(#REF!))+(#REF!)</f>
        <v>#REF!</v>
      </c>
      <c r="AA134" s="6" t="e">
        <f>((((((((((((((#REF!)+(#REF!))+(AA126))+(AA127))+(AA133))+(#REF!))+(#REF!))+(#REF!))+(#REF!))+(#REF!))+(#REF!))+(#REF!))+(#REF!))+(#REF!))+(#REF!)</f>
        <v>#REF!</v>
      </c>
      <c r="AB134" s="6" t="e">
        <f t="shared" ref="AB134" si="107">(AA134)-(Z134)</f>
        <v>#REF!</v>
      </c>
      <c r="AC134" s="6" t="e">
        <f>((((((((((((((#REF!)+(#REF!))+(AC126))+(AC127))+(AC133))+(#REF!))+(#REF!))+(#REF!))+(#REF!))+(#REF!))+(#REF!))+(#REF!))+(#REF!))+(#REF!))+(#REF!)</f>
        <v>#REF!</v>
      </c>
      <c r="AD134" s="6" t="e">
        <f>((((((((((((((#REF!)+(#REF!))+(AD126))+(AD127))+(AD133))+(#REF!))+(#REF!))+(#REF!))+(#REF!))+(#REF!))+(#REF!))+(#REF!))+(#REF!))+(#REF!))+(#REF!)</f>
        <v>#REF!</v>
      </c>
      <c r="AE134" s="6" t="e">
        <f t="shared" ref="AE134" si="108">(AD134)-(AC134)</f>
        <v>#REF!</v>
      </c>
      <c r="AF134" s="6" t="e">
        <f>((((((((((((((#REF!)+(#REF!))+(AF126))+(AF127))+(AF133))+(#REF!))+(#REF!))+(#REF!))+(#REF!))+(#REF!))+(#REF!))+(#REF!))+(#REF!))+(#REF!))+(#REF!)</f>
        <v>#REF!</v>
      </c>
      <c r="AG134" s="6" t="e">
        <f>((((((((((((((#REF!)+(#REF!))+(AG126))+(AG127))+(AG133))+(#REF!))+(#REF!))+(#REF!))+(#REF!))+(#REF!))+(#REF!))+(#REF!))+(#REF!))+(#REF!))+(#REF!)</f>
        <v>#REF!</v>
      </c>
      <c r="AH134" s="6" t="e">
        <f t="shared" ref="AH134" si="109">(AG134)-(AF134)</f>
        <v>#REF!</v>
      </c>
      <c r="AI134" s="6" t="e">
        <f>((((((((((((((#REF!)+(#REF!))+(AI126))+(AI127))+(AI133))+(#REF!))+(#REF!))+(#REF!))+(#REF!))+(#REF!))+(#REF!))+(#REF!))+(#REF!))+(#REF!))+(#REF!)</f>
        <v>#REF!</v>
      </c>
      <c r="AJ134" s="6" t="e">
        <f>((((((((((((((#REF!)+(#REF!))+(AJ126))+(AJ127))+(AJ133))+(#REF!))+(#REF!))+(#REF!))+(#REF!))+(#REF!))+(#REF!))+(#REF!))+(#REF!))+(#REF!))+(#REF!)</f>
        <v>#REF!</v>
      </c>
      <c r="AK134" s="6" t="e">
        <f t="shared" ref="AK134" si="110">(AJ134)-(AI134)</f>
        <v>#REF!</v>
      </c>
      <c r="AL134" s="6" t="e">
        <f t="shared" ref="AL134" si="111">(((((((((((B134)+(E134))+(H134))+(K134))+(N134))+(Q134))+(T134))+(W134))+(Z134))+(AC134))+(AF134))+(AI134)</f>
        <v>#REF!</v>
      </c>
      <c r="AM134" s="13"/>
      <c r="AN134" s="6">
        <v>375402</v>
      </c>
    </row>
    <row r="135" spans="1:44" x14ac:dyDescent="0.45">
      <c r="A135" s="3" t="s">
        <v>142</v>
      </c>
      <c r="B135" s="7" t="e">
        <f>(#REF!)+(#REF!)</f>
        <v>#REF!</v>
      </c>
      <c r="C135" s="7" t="e">
        <f>(#REF!)+(#REF!)</f>
        <v>#REF!</v>
      </c>
      <c r="D135" s="7" t="e">
        <f>(C135)-(B135)</f>
        <v>#REF!</v>
      </c>
      <c r="E135" s="7" t="e">
        <f>(#REF!)+(#REF!)</f>
        <v>#REF!</v>
      </c>
      <c r="F135" s="7" t="e">
        <f>(#REF!)+(#REF!)</f>
        <v>#REF!</v>
      </c>
      <c r="G135" s="7" t="e">
        <f>(F135)-(E135)</f>
        <v>#REF!</v>
      </c>
      <c r="H135" s="7" t="e">
        <f>(#REF!)+(#REF!)</f>
        <v>#REF!</v>
      </c>
      <c r="I135" s="7" t="e">
        <f>(#REF!)+(#REF!)</f>
        <v>#REF!</v>
      </c>
      <c r="J135" s="7" t="e">
        <f>(I135)-(H135)</f>
        <v>#REF!</v>
      </c>
      <c r="K135" s="7" t="e">
        <f>(#REF!)+(#REF!)</f>
        <v>#REF!</v>
      </c>
      <c r="L135" s="7" t="e">
        <f>(#REF!)+(#REF!)</f>
        <v>#REF!</v>
      </c>
      <c r="M135" s="7" t="e">
        <f>(L135)-(K135)</f>
        <v>#REF!</v>
      </c>
      <c r="N135" s="7" t="e">
        <f>(#REF!)+(#REF!)</f>
        <v>#REF!</v>
      </c>
      <c r="O135" s="7" t="e">
        <f>(#REF!)+(#REF!)</f>
        <v>#REF!</v>
      </c>
      <c r="P135" s="7" t="e">
        <f>(O135)-(N135)</f>
        <v>#REF!</v>
      </c>
      <c r="Q135" s="7" t="e">
        <f>(#REF!)+(#REF!)</f>
        <v>#REF!</v>
      </c>
      <c r="R135" s="7" t="e">
        <f>(#REF!)+(#REF!)</f>
        <v>#REF!</v>
      </c>
      <c r="S135" s="7" t="e">
        <f>(R135)-(Q135)</f>
        <v>#REF!</v>
      </c>
      <c r="T135" s="7" t="e">
        <f>(#REF!)+(#REF!)</f>
        <v>#REF!</v>
      </c>
      <c r="U135" s="7" t="e">
        <f>(#REF!)+(#REF!)</f>
        <v>#REF!</v>
      </c>
      <c r="V135" s="7" t="e">
        <f>(U135)-(T135)</f>
        <v>#REF!</v>
      </c>
      <c r="W135" s="7" t="e">
        <f>(#REF!)+(#REF!)</f>
        <v>#REF!</v>
      </c>
      <c r="X135" s="7" t="e">
        <f>(#REF!)+(#REF!)</f>
        <v>#REF!</v>
      </c>
      <c r="Y135" s="7" t="e">
        <f>(X135)-(W135)</f>
        <v>#REF!</v>
      </c>
      <c r="Z135" s="7" t="e">
        <f>(#REF!)+(#REF!)</f>
        <v>#REF!</v>
      </c>
      <c r="AA135" s="7" t="e">
        <f>(#REF!)+(#REF!)</f>
        <v>#REF!</v>
      </c>
      <c r="AB135" s="7" t="e">
        <f>(AA135)-(Z135)</f>
        <v>#REF!</v>
      </c>
      <c r="AC135" s="7" t="e">
        <f>(#REF!)+(#REF!)</f>
        <v>#REF!</v>
      </c>
      <c r="AD135" s="7" t="e">
        <f>(#REF!)+(#REF!)</f>
        <v>#REF!</v>
      </c>
      <c r="AE135" s="7" t="e">
        <f>(AD135)-(AC135)</f>
        <v>#REF!</v>
      </c>
      <c r="AF135" s="7" t="e">
        <f>(#REF!)+(#REF!)</f>
        <v>#REF!</v>
      </c>
      <c r="AG135" s="7" t="e">
        <f>(#REF!)+(#REF!)</f>
        <v>#REF!</v>
      </c>
      <c r="AH135" s="7" t="e">
        <f>(AG135)-(AF135)</f>
        <v>#REF!</v>
      </c>
      <c r="AI135" s="7" t="e">
        <f>(#REF!)+(#REF!)</f>
        <v>#REF!</v>
      </c>
      <c r="AJ135" s="7" t="e">
        <f>(#REF!)+(#REF!)</f>
        <v>#REF!</v>
      </c>
      <c r="AK135" s="7" t="e">
        <f>(AJ135)-(AI135)</f>
        <v>#REF!</v>
      </c>
      <c r="AL135" s="7" t="e">
        <f t="shared" ref="AL135" si="112">(((((((((((B135)+(E135))+(H135))+(K135))+(N135))+(Q135))+(T135))+(W135))+(Z135))+(AC135))+(AF135))+(AI135)</f>
        <v>#REF!</v>
      </c>
      <c r="AM135" s="13"/>
      <c r="AN135" s="31">
        <v>-312</v>
      </c>
    </row>
    <row r="136" spans="1:44" x14ac:dyDescent="0.45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8"/>
      <c r="AN136" s="4"/>
    </row>
    <row r="137" spans="1:44" x14ac:dyDescent="0.45">
      <c r="AM137" s="9"/>
    </row>
    <row r="139" spans="1:44" x14ac:dyDescent="0.45">
      <c r="A139" s="38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</row>
  </sheetData>
  <mergeCells count="17">
    <mergeCell ref="A139:AN139"/>
    <mergeCell ref="A1:AN1"/>
    <mergeCell ref="A2:AN2"/>
    <mergeCell ref="A3:AN3"/>
    <mergeCell ref="Q5:S5"/>
    <mergeCell ref="T5:V5"/>
    <mergeCell ref="W5:Y5"/>
    <mergeCell ref="Z5:AB5"/>
    <mergeCell ref="AC5:AE5"/>
    <mergeCell ref="B5:D5"/>
    <mergeCell ref="E5:G5"/>
    <mergeCell ref="H5:J5"/>
    <mergeCell ref="K5:M5"/>
    <mergeCell ref="N5:P5"/>
    <mergeCell ref="AF5:AH5"/>
    <mergeCell ref="AI5:AK5"/>
    <mergeCell ref="AL5:AN5"/>
  </mergeCells>
  <printOptions headings="1"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477B-57AE-4F1B-80EB-2DB83E6BBCC0}">
  <dimension ref="A1:AB15"/>
  <sheetViews>
    <sheetView topLeftCell="K1" workbookViewId="0">
      <selection activeCell="AB8" sqref="AB8"/>
    </sheetView>
  </sheetViews>
  <sheetFormatPr defaultRowHeight="14.25" x14ac:dyDescent="0.45"/>
  <cols>
    <col min="2" max="2" width="9.3984375" bestFit="1" customWidth="1"/>
    <col min="3" max="3" width="10.73046875" customWidth="1"/>
    <col min="4" max="4" width="10.86328125" style="18" bestFit="1" customWidth="1"/>
    <col min="6" max="6" width="9.1328125" style="18"/>
    <col min="7" max="7" width="10.3984375" customWidth="1"/>
    <col min="8" max="8" width="10.86328125" style="18" customWidth="1"/>
    <col min="9" max="9" width="11.73046875" customWidth="1"/>
    <col min="10" max="10" width="10.3984375" style="18" customWidth="1"/>
    <col min="11" max="11" width="10.3984375" customWidth="1"/>
    <col min="12" max="12" width="11.1328125" style="18" customWidth="1"/>
    <col min="14" max="14" width="9.1328125" style="18"/>
    <col min="16" max="16" width="9.1328125" style="18"/>
    <col min="18" max="18" width="9.1328125" style="18"/>
    <col min="20" max="20" width="9.1328125" style="18"/>
    <col min="22" max="22" width="9.1328125" style="18"/>
    <col min="24" max="24" width="10.1328125" style="18" customWidth="1"/>
    <col min="28" max="28" width="9.1328125" style="18"/>
  </cols>
  <sheetData>
    <row r="1" spans="1:28" ht="14.65" thickBot="1" x14ac:dyDescent="0.5"/>
    <row r="2" spans="1:28" ht="28.9" thickBot="1" x14ac:dyDescent="0.5">
      <c r="B2" s="24" t="s">
        <v>174</v>
      </c>
      <c r="C2" s="20" t="s">
        <v>172</v>
      </c>
      <c r="D2" s="20" t="s">
        <v>173</v>
      </c>
      <c r="E2" s="20" t="s">
        <v>151</v>
      </c>
      <c r="F2" s="20" t="s">
        <v>152</v>
      </c>
      <c r="G2" s="20" t="s">
        <v>153</v>
      </c>
      <c r="H2" s="20" t="s">
        <v>154</v>
      </c>
      <c r="I2" s="20" t="s">
        <v>155</v>
      </c>
      <c r="J2" s="20" t="s">
        <v>156</v>
      </c>
      <c r="K2" s="20" t="s">
        <v>157</v>
      </c>
      <c r="L2" s="20" t="s">
        <v>158</v>
      </c>
      <c r="M2" s="20" t="s">
        <v>159</v>
      </c>
      <c r="N2" s="20" t="s">
        <v>160</v>
      </c>
      <c r="O2" s="20" t="s">
        <v>161</v>
      </c>
      <c r="P2" s="20" t="s">
        <v>162</v>
      </c>
      <c r="Q2" s="20" t="s">
        <v>163</v>
      </c>
      <c r="R2" s="20" t="s">
        <v>164</v>
      </c>
      <c r="S2" s="20" t="s">
        <v>165</v>
      </c>
      <c r="T2" s="20" t="s">
        <v>166</v>
      </c>
      <c r="U2" s="20" t="s">
        <v>167</v>
      </c>
      <c r="V2" s="20" t="s">
        <v>168</v>
      </c>
      <c r="W2" s="20" t="s">
        <v>169</v>
      </c>
      <c r="X2" s="20" t="s">
        <v>170</v>
      </c>
      <c r="Y2" s="20" t="s">
        <v>150</v>
      </c>
      <c r="Z2" s="20" t="s">
        <v>171</v>
      </c>
      <c r="AB2" s="26" t="s">
        <v>175</v>
      </c>
    </row>
    <row r="3" spans="1:28" ht="31.5" x14ac:dyDescent="0.45">
      <c r="A3" s="3" t="s">
        <v>18</v>
      </c>
      <c r="B3" s="16">
        <v>8</v>
      </c>
      <c r="C3" s="19">
        <v>6216</v>
      </c>
      <c r="D3" s="19">
        <f>B3*C3</f>
        <v>49728</v>
      </c>
      <c r="E3" s="19">
        <v>2043</v>
      </c>
      <c r="F3" s="19">
        <f>E3*B3</f>
        <v>16344</v>
      </c>
      <c r="G3" s="19">
        <v>1682</v>
      </c>
      <c r="H3" s="19">
        <f>G3*B3</f>
        <v>13456</v>
      </c>
      <c r="I3" s="19">
        <v>3840</v>
      </c>
      <c r="J3" s="19">
        <f>I3*B3</f>
        <v>30720</v>
      </c>
      <c r="K3" s="19">
        <v>1280</v>
      </c>
      <c r="L3" s="19">
        <f>K3*B3</f>
        <v>10240</v>
      </c>
      <c r="M3" s="19">
        <v>427</v>
      </c>
      <c r="N3" s="19">
        <f>M3*B3</f>
        <v>3416</v>
      </c>
      <c r="O3" s="19">
        <v>318</v>
      </c>
      <c r="P3" s="19">
        <f>O3*B3</f>
        <v>2544</v>
      </c>
      <c r="Q3" s="19">
        <v>437</v>
      </c>
      <c r="R3" s="19">
        <f>B3*Q3</f>
        <v>3496</v>
      </c>
      <c r="S3" s="19">
        <v>453</v>
      </c>
      <c r="T3" s="19">
        <f>S3*B3</f>
        <v>3624</v>
      </c>
      <c r="U3" s="19">
        <v>471</v>
      </c>
      <c r="V3" s="19">
        <f t="shared" ref="V3:V8" si="0">U3*B3</f>
        <v>3768</v>
      </c>
      <c r="W3" s="19">
        <v>253</v>
      </c>
      <c r="X3" s="19">
        <f>W3*B3</f>
        <v>2024</v>
      </c>
      <c r="Y3" s="19">
        <v>55</v>
      </c>
      <c r="Z3" s="19">
        <f>Y3*B3</f>
        <v>440</v>
      </c>
      <c r="AA3" s="22">
        <f t="shared" ref="AA3:AA8" si="1">SUM(D3+F3+H3+J3+L3+N3+P3+R3+T3+V3+X3+Z3)</f>
        <v>139800</v>
      </c>
      <c r="AB3" s="23">
        <f>SUM(C3+E3+G3+I3+K3+M3+O3+Q3+S3+U3+W3+Y3)</f>
        <v>17475</v>
      </c>
    </row>
    <row r="4" spans="1:28" ht="31.5" x14ac:dyDescent="0.45">
      <c r="A4" s="3" t="s">
        <v>19</v>
      </c>
      <c r="B4" s="16">
        <v>10</v>
      </c>
      <c r="C4" s="19">
        <v>80</v>
      </c>
      <c r="D4" s="19">
        <f t="shared" ref="D4:D10" si="2">B4*C4</f>
        <v>800</v>
      </c>
      <c r="E4" s="19">
        <v>80</v>
      </c>
      <c r="F4" s="19">
        <f t="shared" ref="F4:F10" si="3">E4*B4</f>
        <v>800</v>
      </c>
      <c r="G4" s="19">
        <v>80</v>
      </c>
      <c r="H4" s="19">
        <f t="shared" ref="H4:H10" si="4">G4*B4</f>
        <v>800</v>
      </c>
      <c r="I4" s="19">
        <v>80</v>
      </c>
      <c r="J4" s="19">
        <f t="shared" ref="J4:J10" si="5">I4*B4</f>
        <v>800</v>
      </c>
      <c r="K4" s="19">
        <v>80</v>
      </c>
      <c r="L4" s="19">
        <f t="shared" ref="L4:L10" si="6">K4*B4</f>
        <v>800</v>
      </c>
      <c r="M4" s="19">
        <v>80</v>
      </c>
      <c r="N4" s="19">
        <f t="shared" ref="N4:N10" si="7">M4*B4</f>
        <v>800</v>
      </c>
      <c r="O4" s="19">
        <v>80</v>
      </c>
      <c r="P4" s="19">
        <f t="shared" ref="P4:P10" si="8">O4*B4</f>
        <v>800</v>
      </c>
      <c r="Q4" s="19">
        <v>80</v>
      </c>
      <c r="R4" s="19">
        <f t="shared" ref="R4:R10" si="9">B4*Q4</f>
        <v>800</v>
      </c>
      <c r="S4" s="19">
        <v>80</v>
      </c>
      <c r="T4" s="19">
        <f t="shared" ref="T4:T10" si="10">S4*B4</f>
        <v>800</v>
      </c>
      <c r="U4" s="19">
        <v>80</v>
      </c>
      <c r="V4" s="19">
        <f t="shared" si="0"/>
        <v>800</v>
      </c>
      <c r="W4" s="19">
        <v>80</v>
      </c>
      <c r="X4" s="19">
        <f>W4*B4</f>
        <v>800</v>
      </c>
      <c r="Y4" s="19">
        <v>80</v>
      </c>
      <c r="Z4" s="19">
        <f t="shared" ref="Z4:Z10" si="11">Y4*B4</f>
        <v>800</v>
      </c>
      <c r="AA4" s="22">
        <f t="shared" si="1"/>
        <v>9600</v>
      </c>
      <c r="AB4" s="23"/>
    </row>
    <row r="5" spans="1:28" ht="31.5" x14ac:dyDescent="0.45">
      <c r="A5" s="3" t="s">
        <v>20</v>
      </c>
      <c r="B5" s="16">
        <v>8</v>
      </c>
      <c r="C5" s="19">
        <v>213</v>
      </c>
      <c r="D5" s="19">
        <f t="shared" si="2"/>
        <v>1704</v>
      </c>
      <c r="E5" s="19">
        <v>178</v>
      </c>
      <c r="F5" s="19">
        <f t="shared" si="3"/>
        <v>1424</v>
      </c>
      <c r="G5" s="19">
        <v>210</v>
      </c>
      <c r="H5" s="19">
        <f t="shared" si="4"/>
        <v>1680</v>
      </c>
      <c r="I5" s="19">
        <v>334</v>
      </c>
      <c r="J5" s="19">
        <f t="shared" si="5"/>
        <v>2672</v>
      </c>
      <c r="K5" s="19">
        <v>238</v>
      </c>
      <c r="L5" s="19">
        <f t="shared" si="6"/>
        <v>1904</v>
      </c>
      <c r="M5" s="19">
        <v>71</v>
      </c>
      <c r="N5" s="19">
        <f t="shared" si="7"/>
        <v>568</v>
      </c>
      <c r="O5" s="19">
        <v>22</v>
      </c>
      <c r="P5" s="19">
        <f t="shared" si="8"/>
        <v>176</v>
      </c>
      <c r="Q5" s="19">
        <v>59</v>
      </c>
      <c r="R5" s="19">
        <f t="shared" si="9"/>
        <v>472</v>
      </c>
      <c r="S5" s="19">
        <v>53</v>
      </c>
      <c r="T5" s="19">
        <f t="shared" si="10"/>
        <v>424</v>
      </c>
      <c r="U5" s="19">
        <v>55</v>
      </c>
      <c r="V5" s="19">
        <f t="shared" si="0"/>
        <v>440</v>
      </c>
      <c r="W5" s="19">
        <v>27</v>
      </c>
      <c r="X5" s="19">
        <v>216</v>
      </c>
      <c r="Y5" s="19">
        <v>16</v>
      </c>
      <c r="Z5" s="19">
        <f t="shared" si="11"/>
        <v>128</v>
      </c>
      <c r="AA5" s="22">
        <f t="shared" si="1"/>
        <v>11808</v>
      </c>
      <c r="AB5" s="23">
        <f t="shared" ref="AB5:AB10" si="12">SUM(C5+E5+G5+I5+K5+M5+O5+Q5+S5+U5+W5+Y5)</f>
        <v>1476</v>
      </c>
    </row>
    <row r="6" spans="1:28" ht="21.4" x14ac:dyDescent="0.45">
      <c r="A6" s="3" t="s">
        <v>21</v>
      </c>
      <c r="B6" s="16">
        <v>10</v>
      </c>
      <c r="C6" s="19">
        <v>914</v>
      </c>
      <c r="D6" s="19">
        <f t="shared" si="2"/>
        <v>9140</v>
      </c>
      <c r="E6" s="19">
        <v>186</v>
      </c>
      <c r="F6" s="19">
        <f t="shared" si="3"/>
        <v>1860</v>
      </c>
      <c r="G6" s="19">
        <v>189</v>
      </c>
      <c r="H6" s="19">
        <f t="shared" si="4"/>
        <v>1890</v>
      </c>
      <c r="I6" s="19">
        <v>207</v>
      </c>
      <c r="J6" s="19">
        <f t="shared" si="5"/>
        <v>2070</v>
      </c>
      <c r="K6" s="19">
        <v>116</v>
      </c>
      <c r="L6" s="19">
        <f t="shared" si="6"/>
        <v>1160</v>
      </c>
      <c r="M6" s="19">
        <v>65</v>
      </c>
      <c r="N6" s="19">
        <f t="shared" si="7"/>
        <v>650</v>
      </c>
      <c r="O6" s="19">
        <v>53</v>
      </c>
      <c r="P6" s="19">
        <f t="shared" si="8"/>
        <v>530</v>
      </c>
      <c r="Q6" s="19">
        <v>74</v>
      </c>
      <c r="R6" s="19">
        <f t="shared" si="9"/>
        <v>740</v>
      </c>
      <c r="S6" s="19">
        <v>291</v>
      </c>
      <c r="T6" s="19">
        <f t="shared" si="10"/>
        <v>2910</v>
      </c>
      <c r="U6" s="19">
        <v>245</v>
      </c>
      <c r="V6" s="19">
        <f t="shared" si="0"/>
        <v>2450</v>
      </c>
      <c r="W6" s="19">
        <v>180</v>
      </c>
      <c r="X6" s="19">
        <f>W6*B6</f>
        <v>1800</v>
      </c>
      <c r="Y6" s="19">
        <v>42</v>
      </c>
      <c r="Z6" s="19">
        <f t="shared" si="11"/>
        <v>420</v>
      </c>
      <c r="AA6" s="22">
        <f t="shared" si="1"/>
        <v>25620</v>
      </c>
      <c r="AB6" s="23">
        <f t="shared" si="12"/>
        <v>2562</v>
      </c>
    </row>
    <row r="7" spans="1:28" ht="21.4" x14ac:dyDescent="0.45">
      <c r="A7" s="3" t="s">
        <v>22</v>
      </c>
      <c r="B7" s="16">
        <v>2</v>
      </c>
      <c r="C7" s="19">
        <v>198</v>
      </c>
      <c r="D7" s="19">
        <f t="shared" si="2"/>
        <v>396</v>
      </c>
      <c r="E7" s="19">
        <v>347</v>
      </c>
      <c r="F7" s="19">
        <f t="shared" si="3"/>
        <v>694</v>
      </c>
      <c r="G7" s="19">
        <v>191</v>
      </c>
      <c r="H7" s="19">
        <f t="shared" si="4"/>
        <v>382</v>
      </c>
      <c r="I7" s="19">
        <v>206</v>
      </c>
      <c r="J7" s="19">
        <f t="shared" si="5"/>
        <v>412</v>
      </c>
      <c r="K7" s="19">
        <v>248</v>
      </c>
      <c r="L7" s="19">
        <f t="shared" si="6"/>
        <v>496</v>
      </c>
      <c r="M7" s="19">
        <v>60</v>
      </c>
      <c r="N7" s="19">
        <f t="shared" si="7"/>
        <v>120</v>
      </c>
      <c r="O7" s="19">
        <v>40</v>
      </c>
      <c r="P7" s="19">
        <f t="shared" si="8"/>
        <v>80</v>
      </c>
      <c r="Q7" s="19">
        <v>56</v>
      </c>
      <c r="R7" s="19">
        <f t="shared" si="9"/>
        <v>112</v>
      </c>
      <c r="S7" s="19">
        <v>33</v>
      </c>
      <c r="T7" s="19">
        <f t="shared" si="10"/>
        <v>66</v>
      </c>
      <c r="U7" s="19">
        <v>68</v>
      </c>
      <c r="V7" s="19">
        <f t="shared" si="0"/>
        <v>136</v>
      </c>
      <c r="W7" s="19">
        <v>24</v>
      </c>
      <c r="X7" s="19">
        <v>48</v>
      </c>
      <c r="Y7" s="19">
        <v>21</v>
      </c>
      <c r="Z7" s="19">
        <f t="shared" si="11"/>
        <v>42</v>
      </c>
      <c r="AA7" s="22">
        <f t="shared" si="1"/>
        <v>2984</v>
      </c>
      <c r="AB7" s="23">
        <f t="shared" si="12"/>
        <v>1492</v>
      </c>
    </row>
    <row r="8" spans="1:28" ht="21.4" x14ac:dyDescent="0.45">
      <c r="A8" s="3" t="s">
        <v>23</v>
      </c>
      <c r="B8" s="16">
        <v>8</v>
      </c>
      <c r="C8" s="19">
        <v>0</v>
      </c>
      <c r="D8" s="19">
        <f t="shared" si="2"/>
        <v>0</v>
      </c>
      <c r="E8" s="19">
        <v>0</v>
      </c>
      <c r="F8" s="19">
        <f t="shared" si="3"/>
        <v>0</v>
      </c>
      <c r="G8" s="19">
        <v>0</v>
      </c>
      <c r="H8" s="19">
        <f t="shared" si="4"/>
        <v>0</v>
      </c>
      <c r="I8" s="19">
        <v>0</v>
      </c>
      <c r="J8" s="19">
        <f t="shared" si="5"/>
        <v>0</v>
      </c>
      <c r="K8" s="19">
        <v>0</v>
      </c>
      <c r="L8" s="19">
        <f t="shared" si="6"/>
        <v>0</v>
      </c>
      <c r="M8" s="19">
        <v>0</v>
      </c>
      <c r="N8" s="19">
        <f t="shared" si="7"/>
        <v>0</v>
      </c>
      <c r="O8" s="19"/>
      <c r="P8" s="19">
        <f t="shared" si="8"/>
        <v>0</v>
      </c>
      <c r="Q8" s="19">
        <v>250</v>
      </c>
      <c r="R8" s="19">
        <f t="shared" si="9"/>
        <v>2000</v>
      </c>
      <c r="S8" s="19">
        <v>127</v>
      </c>
      <c r="T8" s="19">
        <f t="shared" si="10"/>
        <v>1016</v>
      </c>
      <c r="U8" s="19">
        <v>210</v>
      </c>
      <c r="V8" s="19">
        <f t="shared" si="0"/>
        <v>1680</v>
      </c>
      <c r="W8" s="19">
        <v>97</v>
      </c>
      <c r="X8" s="19">
        <v>776</v>
      </c>
      <c r="Y8" s="19">
        <v>23</v>
      </c>
      <c r="Z8" s="19">
        <f t="shared" si="11"/>
        <v>184</v>
      </c>
      <c r="AA8" s="22">
        <f t="shared" si="1"/>
        <v>5656</v>
      </c>
      <c r="AB8" s="23">
        <f t="shared" si="12"/>
        <v>707</v>
      </c>
    </row>
    <row r="9" spans="1:28" ht="31.5" x14ac:dyDescent="0.45">
      <c r="A9" s="3" t="s">
        <v>24</v>
      </c>
      <c r="B9" s="16">
        <v>0</v>
      </c>
      <c r="C9" s="19">
        <v>0</v>
      </c>
      <c r="D9" s="19">
        <f t="shared" si="2"/>
        <v>0</v>
      </c>
      <c r="E9" s="19">
        <v>0</v>
      </c>
      <c r="F9" s="19">
        <f t="shared" si="3"/>
        <v>0</v>
      </c>
      <c r="G9" s="19">
        <v>0</v>
      </c>
      <c r="H9" s="19">
        <f t="shared" si="4"/>
        <v>0</v>
      </c>
      <c r="I9" s="19">
        <v>0</v>
      </c>
      <c r="J9" s="19">
        <f t="shared" si="5"/>
        <v>0</v>
      </c>
      <c r="K9" s="19">
        <v>0</v>
      </c>
      <c r="L9" s="19">
        <f t="shared" si="6"/>
        <v>0</v>
      </c>
      <c r="M9" s="19">
        <v>0</v>
      </c>
      <c r="N9" s="19">
        <f t="shared" si="7"/>
        <v>0</v>
      </c>
      <c r="O9" s="19">
        <v>0</v>
      </c>
      <c r="P9" s="19">
        <f t="shared" si="8"/>
        <v>0</v>
      </c>
      <c r="Q9" s="19">
        <v>0</v>
      </c>
      <c r="R9" s="19">
        <f t="shared" si="9"/>
        <v>0</v>
      </c>
      <c r="S9" s="19">
        <v>0</v>
      </c>
      <c r="T9" s="19">
        <f t="shared" si="10"/>
        <v>0</v>
      </c>
      <c r="U9" s="19">
        <v>0</v>
      </c>
      <c r="V9" s="19"/>
      <c r="W9" s="19">
        <v>0</v>
      </c>
      <c r="X9" s="19"/>
      <c r="Y9" s="19">
        <v>0</v>
      </c>
      <c r="Z9" s="19">
        <f t="shared" si="11"/>
        <v>0</v>
      </c>
      <c r="AB9" s="23">
        <f t="shared" si="12"/>
        <v>0</v>
      </c>
    </row>
    <row r="10" spans="1:28" ht="31.9" thickBot="1" x14ac:dyDescent="0.5">
      <c r="A10" s="3" t="s">
        <v>25</v>
      </c>
      <c r="B10" s="16">
        <v>80</v>
      </c>
      <c r="C10" s="21">
        <v>35</v>
      </c>
      <c r="D10" s="21">
        <f t="shared" si="2"/>
        <v>2800</v>
      </c>
      <c r="E10" s="21">
        <v>34</v>
      </c>
      <c r="F10" s="21">
        <f t="shared" si="3"/>
        <v>2720</v>
      </c>
      <c r="G10" s="21">
        <v>41</v>
      </c>
      <c r="H10" s="21">
        <f t="shared" si="4"/>
        <v>3280</v>
      </c>
      <c r="I10" s="21">
        <v>32</v>
      </c>
      <c r="J10" s="21">
        <f t="shared" si="5"/>
        <v>2560</v>
      </c>
      <c r="K10" s="21">
        <v>11</v>
      </c>
      <c r="L10" s="21">
        <f t="shared" si="6"/>
        <v>880</v>
      </c>
      <c r="M10" s="21">
        <v>3</v>
      </c>
      <c r="N10" s="21">
        <f t="shared" si="7"/>
        <v>240</v>
      </c>
      <c r="O10" s="21">
        <v>2</v>
      </c>
      <c r="P10" s="21">
        <f t="shared" si="8"/>
        <v>160</v>
      </c>
      <c r="Q10" s="21">
        <v>2</v>
      </c>
      <c r="R10" s="21">
        <f t="shared" si="9"/>
        <v>160</v>
      </c>
      <c r="S10" s="21">
        <v>1</v>
      </c>
      <c r="T10" s="21">
        <f t="shared" si="10"/>
        <v>80</v>
      </c>
      <c r="U10" s="21">
        <v>0</v>
      </c>
      <c r="V10" s="21">
        <v>0</v>
      </c>
      <c r="W10" s="21">
        <v>1</v>
      </c>
      <c r="X10" s="19">
        <f>W10*B10</f>
        <v>80</v>
      </c>
      <c r="Y10" s="21">
        <v>0</v>
      </c>
      <c r="Z10" s="21">
        <f t="shared" si="11"/>
        <v>0</v>
      </c>
      <c r="AA10" s="22">
        <f>SUM(D10+F10+H10+J10+L10+N10+P10+R10+T10+V10+X10+Z10)</f>
        <v>12960</v>
      </c>
      <c r="AB10" s="27">
        <f t="shared" si="12"/>
        <v>162</v>
      </c>
    </row>
    <row r="11" spans="1:28" ht="14.65" thickBot="1" x14ac:dyDescent="0.5">
      <c r="A11" s="25" t="s">
        <v>176</v>
      </c>
      <c r="B11" s="15"/>
      <c r="C11" s="23">
        <f>SUM(C3:C10)</f>
        <v>7656</v>
      </c>
      <c r="D11" s="22">
        <f t="shared" ref="D11:X11" si="13">SUM(D3:D10)</f>
        <v>64568</v>
      </c>
      <c r="E11" s="23">
        <f>SUM(E3:E10)</f>
        <v>2868</v>
      </c>
      <c r="F11" s="22">
        <f t="shared" si="13"/>
        <v>23842</v>
      </c>
      <c r="G11" s="23">
        <f>SUM(G3:G10)</f>
        <v>2393</v>
      </c>
      <c r="H11" s="22">
        <f t="shared" si="13"/>
        <v>21488</v>
      </c>
      <c r="I11" s="23">
        <f>SUM(I3:I10)</f>
        <v>4699</v>
      </c>
      <c r="J11" s="22">
        <f t="shared" si="13"/>
        <v>39234</v>
      </c>
      <c r="K11" s="23">
        <f>SUM(K3:K10)</f>
        <v>1973</v>
      </c>
      <c r="L11" s="22">
        <f t="shared" si="13"/>
        <v>15480</v>
      </c>
      <c r="M11" s="23">
        <f>SUM(M3:M10)</f>
        <v>706</v>
      </c>
      <c r="N11" s="22">
        <f t="shared" si="13"/>
        <v>5794</v>
      </c>
      <c r="O11" s="23">
        <f>SUM(O3:O10)</f>
        <v>515</v>
      </c>
      <c r="P11" s="22">
        <f t="shared" si="13"/>
        <v>4290</v>
      </c>
      <c r="Q11" s="23">
        <f>SUM(Q3:Q10)</f>
        <v>958</v>
      </c>
      <c r="R11" s="22">
        <f t="shared" si="13"/>
        <v>7780</v>
      </c>
      <c r="S11" s="23">
        <f>SUM(S3:S10)</f>
        <v>1038</v>
      </c>
      <c r="T11" s="22">
        <f t="shared" si="13"/>
        <v>8920</v>
      </c>
      <c r="U11" s="23">
        <f>SUM(U3:U10)</f>
        <v>1129</v>
      </c>
      <c r="V11" s="22">
        <f t="shared" si="13"/>
        <v>9274</v>
      </c>
      <c r="W11" s="23">
        <f>SUM(W3:W10)</f>
        <v>662</v>
      </c>
      <c r="X11" s="22">
        <f t="shared" si="13"/>
        <v>5744</v>
      </c>
      <c r="Y11" s="23">
        <f>SUM(Y3:Y10)</f>
        <v>237</v>
      </c>
      <c r="Z11" s="22">
        <f>SUM(Z3:Z10)</f>
        <v>2014</v>
      </c>
      <c r="AA11" s="22">
        <f>SUM(D11+F11+H11+J11+L11+N11+P11+R11+T11+V11+X11+Z11)</f>
        <v>208428</v>
      </c>
      <c r="AB11" s="22"/>
    </row>
    <row r="12" spans="1:28" x14ac:dyDescent="0.45">
      <c r="AA12" s="17"/>
      <c r="AB12" s="23">
        <f>SUM(AB3:AB10)</f>
        <v>23874</v>
      </c>
    </row>
    <row r="13" spans="1:28" x14ac:dyDescent="0.45">
      <c r="Z13" s="9"/>
    </row>
    <row r="14" spans="1:28" x14ac:dyDescent="0.45">
      <c r="Z14" s="9"/>
    </row>
    <row r="15" spans="1:28" x14ac:dyDescent="0.45">
      <c r="Z15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vs. Actuals</vt:lpstr>
      <vt:lpstr>Membership $$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Ron's Lap Top</cp:lastModifiedBy>
  <cp:lastPrinted>2020-04-30T14:51:26Z</cp:lastPrinted>
  <dcterms:created xsi:type="dcterms:W3CDTF">2020-04-30T14:48:43Z</dcterms:created>
  <dcterms:modified xsi:type="dcterms:W3CDTF">2021-08-10T18:50:45Z</dcterms:modified>
</cp:coreProperties>
</file>