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0270a0b4c510bde/Desktop/"/>
    </mc:Choice>
  </mc:AlternateContent>
  <xr:revisionPtr revIDLastSave="0" documentId="8_{38522119-1C46-4AA3-8C34-8DAF260FD9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fit and Loss by Clas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1" l="1"/>
  <c r="H16" i="1"/>
  <c r="H24" i="1"/>
  <c r="H28" i="1"/>
  <c r="H32" i="1"/>
  <c r="H50" i="1"/>
  <c r="H55" i="1"/>
  <c r="H56" i="1"/>
  <c r="H64" i="1"/>
  <c r="H73" i="1"/>
  <c r="H74" i="1"/>
  <c r="H76" i="1"/>
  <c r="H80" i="1"/>
  <c r="H87" i="1"/>
  <c r="H91" i="1"/>
  <c r="H95" i="1"/>
  <c r="E98" i="1"/>
  <c r="N97" i="1"/>
  <c r="L97" i="1"/>
  <c r="K97" i="1"/>
  <c r="Q96" i="1"/>
  <c r="P95" i="1"/>
  <c r="O95" i="1"/>
  <c r="M95" i="1"/>
  <c r="L95" i="1"/>
  <c r="K95" i="1"/>
  <c r="J95" i="1"/>
  <c r="I95" i="1"/>
  <c r="G95" i="1"/>
  <c r="F95" i="1"/>
  <c r="E95" i="1"/>
  <c r="D95" i="1"/>
  <c r="C95" i="1"/>
  <c r="B95" i="1"/>
  <c r="N94" i="1"/>
  <c r="N95" i="1" s="1"/>
  <c r="Q93" i="1"/>
  <c r="P91" i="1"/>
  <c r="O91" i="1"/>
  <c r="N91" i="1"/>
  <c r="M91" i="1"/>
  <c r="L91" i="1"/>
  <c r="K91" i="1"/>
  <c r="J91" i="1"/>
  <c r="I91" i="1"/>
  <c r="G91" i="1"/>
  <c r="F91" i="1"/>
  <c r="E91" i="1"/>
  <c r="D91" i="1"/>
  <c r="C91" i="1"/>
  <c r="Q89" i="1"/>
  <c r="Q88" i="1"/>
  <c r="P87" i="1"/>
  <c r="O87" i="1"/>
  <c r="N87" i="1"/>
  <c r="M87" i="1"/>
  <c r="J87" i="1"/>
  <c r="I87" i="1"/>
  <c r="G87" i="1"/>
  <c r="F87" i="1"/>
  <c r="F92" i="1" s="1"/>
  <c r="F99" i="1" s="1"/>
  <c r="E87" i="1"/>
  <c r="D87" i="1"/>
  <c r="C87" i="1"/>
  <c r="L86" i="1"/>
  <c r="Q86" i="1" s="1"/>
  <c r="L85" i="1"/>
  <c r="L84" i="1"/>
  <c r="Q84" i="1" s="1"/>
  <c r="K83" i="1"/>
  <c r="Q83" i="1" s="1"/>
  <c r="Q82" i="1"/>
  <c r="L81" i="1"/>
  <c r="K81" i="1"/>
  <c r="E81" i="1"/>
  <c r="N80" i="1"/>
  <c r="L80" i="1"/>
  <c r="K80" i="1"/>
  <c r="E80" i="1"/>
  <c r="N79" i="1"/>
  <c r="L79" i="1"/>
  <c r="K79" i="1"/>
  <c r="E79" i="1"/>
  <c r="L78" i="1"/>
  <c r="N77" i="1"/>
  <c r="L77" i="1"/>
  <c r="K77" i="1"/>
  <c r="E77" i="1"/>
  <c r="N76" i="1"/>
  <c r="L76" i="1"/>
  <c r="K76" i="1"/>
  <c r="E76" i="1"/>
  <c r="N75" i="1"/>
  <c r="L75" i="1"/>
  <c r="K75" i="1"/>
  <c r="E75" i="1"/>
  <c r="L74" i="1"/>
  <c r="K74" i="1"/>
  <c r="E74" i="1"/>
  <c r="N73" i="1"/>
  <c r="L73" i="1"/>
  <c r="K73" i="1"/>
  <c r="E73" i="1"/>
  <c r="N72" i="1"/>
  <c r="L72" i="1"/>
  <c r="L67" i="1"/>
  <c r="E67" i="1"/>
  <c r="Q67" i="1" s="1"/>
  <c r="N66" i="1"/>
  <c r="L66" i="1"/>
  <c r="K66" i="1"/>
  <c r="E66" i="1"/>
  <c r="N65" i="1"/>
  <c r="L65" i="1"/>
  <c r="K65" i="1"/>
  <c r="E65" i="1"/>
  <c r="P64" i="1"/>
  <c r="N64" i="1"/>
  <c r="M64" i="1"/>
  <c r="L64" i="1"/>
  <c r="J64" i="1"/>
  <c r="I64" i="1"/>
  <c r="G64" i="1"/>
  <c r="F64" i="1"/>
  <c r="E64" i="1"/>
  <c r="D64" i="1"/>
  <c r="C64" i="1"/>
  <c r="B64" i="1"/>
  <c r="Q63" i="1"/>
  <c r="Q62" i="1"/>
  <c r="Q61" i="1"/>
  <c r="K64" i="1"/>
  <c r="Q59" i="1"/>
  <c r="Q58" i="1"/>
  <c r="Q57" i="1"/>
  <c r="P55" i="1"/>
  <c r="P56" i="1" s="1"/>
  <c r="O55" i="1"/>
  <c r="O56" i="1" s="1"/>
  <c r="N55" i="1"/>
  <c r="N56" i="1" s="1"/>
  <c r="M55" i="1"/>
  <c r="M56" i="1" s="1"/>
  <c r="K55" i="1"/>
  <c r="K56" i="1" s="1"/>
  <c r="I55" i="1"/>
  <c r="I56" i="1" s="1"/>
  <c r="G55" i="1"/>
  <c r="G56" i="1" s="1"/>
  <c r="F55" i="1"/>
  <c r="F56" i="1" s="1"/>
  <c r="D55" i="1"/>
  <c r="D56" i="1" s="1"/>
  <c r="C55" i="1"/>
  <c r="C56" i="1" s="1"/>
  <c r="B55" i="1"/>
  <c r="B56" i="1" s="1"/>
  <c r="J55" i="1"/>
  <c r="J56" i="1" s="1"/>
  <c r="L53" i="1"/>
  <c r="L55" i="1" s="1"/>
  <c r="L56" i="1" s="1"/>
  <c r="E53" i="1"/>
  <c r="Q53" i="1" s="1"/>
  <c r="Q52" i="1"/>
  <c r="Q51" i="1"/>
  <c r="P50" i="1"/>
  <c r="O50" i="1"/>
  <c r="M50" i="1"/>
  <c r="J50" i="1"/>
  <c r="I50" i="1"/>
  <c r="G50" i="1"/>
  <c r="F50" i="1"/>
  <c r="D50" i="1"/>
  <c r="C50" i="1"/>
  <c r="B50" i="1"/>
  <c r="N49" i="1"/>
  <c r="L49" i="1"/>
  <c r="K49" i="1"/>
  <c r="E49" i="1"/>
  <c r="N48" i="1"/>
  <c r="L48" i="1"/>
  <c r="K48" i="1"/>
  <c r="E48" i="1"/>
  <c r="N47" i="1"/>
  <c r="L47" i="1"/>
  <c r="K47" i="1"/>
  <c r="E47" i="1"/>
  <c r="N46" i="1"/>
  <c r="L46" i="1"/>
  <c r="K46" i="1"/>
  <c r="E46" i="1"/>
  <c r="N45" i="1"/>
  <c r="L45" i="1"/>
  <c r="K45" i="1"/>
  <c r="E45" i="1"/>
  <c r="N44" i="1"/>
  <c r="L44" i="1"/>
  <c r="K44" i="1"/>
  <c r="E44" i="1"/>
  <c r="N43" i="1"/>
  <c r="L43" i="1"/>
  <c r="K43" i="1"/>
  <c r="E43" i="1"/>
  <c r="Q42" i="1"/>
  <c r="Q41" i="1"/>
  <c r="Q38" i="1"/>
  <c r="L36" i="1"/>
  <c r="Q36" i="1" s="1"/>
  <c r="L35" i="1"/>
  <c r="K35" i="1"/>
  <c r="E35" i="1"/>
  <c r="N34" i="1"/>
  <c r="L34" i="1"/>
  <c r="K34" i="1"/>
  <c r="P32" i="1"/>
  <c r="O32" i="1"/>
  <c r="M32" i="1"/>
  <c r="J32" i="1"/>
  <c r="I32" i="1"/>
  <c r="G32" i="1"/>
  <c r="F32" i="1"/>
  <c r="C32" i="1"/>
  <c r="B32" i="1"/>
  <c r="N31" i="1"/>
  <c r="L31" i="1"/>
  <c r="K31" i="1"/>
  <c r="E31" i="1"/>
  <c r="N30" i="1"/>
  <c r="L30" i="1"/>
  <c r="K30" i="1"/>
  <c r="E30" i="1"/>
  <c r="Q29" i="1"/>
  <c r="P28" i="1"/>
  <c r="O28" i="1"/>
  <c r="N28" i="1"/>
  <c r="M28" i="1"/>
  <c r="L28" i="1"/>
  <c r="K28" i="1"/>
  <c r="J28" i="1"/>
  <c r="I28" i="1"/>
  <c r="G28" i="1"/>
  <c r="F28" i="1"/>
  <c r="E28" i="1"/>
  <c r="C28" i="1"/>
  <c r="B28" i="1"/>
  <c r="Q27" i="1"/>
  <c r="Q25" i="1"/>
  <c r="P24" i="1"/>
  <c r="O24" i="1"/>
  <c r="M24" i="1"/>
  <c r="J24" i="1"/>
  <c r="I24" i="1"/>
  <c r="G24" i="1"/>
  <c r="F24" i="1"/>
  <c r="C24" i="1"/>
  <c r="B24" i="1"/>
  <c r="N23" i="1"/>
  <c r="L23" i="1"/>
  <c r="K23" i="1"/>
  <c r="E23" i="1"/>
  <c r="D23" i="1"/>
  <c r="N22" i="1"/>
  <c r="L22" i="1"/>
  <c r="K22" i="1"/>
  <c r="K24" i="1" s="1"/>
  <c r="E22" i="1"/>
  <c r="D22" i="1"/>
  <c r="Q21" i="1"/>
  <c r="P20" i="1"/>
  <c r="O20" i="1"/>
  <c r="M20" i="1"/>
  <c r="J20" i="1"/>
  <c r="I20" i="1"/>
  <c r="G20" i="1"/>
  <c r="F20" i="1"/>
  <c r="C20" i="1"/>
  <c r="B20" i="1"/>
  <c r="N19" i="1"/>
  <c r="L19" i="1"/>
  <c r="K19" i="1"/>
  <c r="E19" i="1"/>
  <c r="N18" i="1"/>
  <c r="L18" i="1"/>
  <c r="L20" i="1" s="1"/>
  <c r="K18" i="1"/>
  <c r="E18" i="1"/>
  <c r="Q17" i="1"/>
  <c r="P16" i="1"/>
  <c r="O16" i="1"/>
  <c r="M16" i="1"/>
  <c r="J16" i="1"/>
  <c r="I16" i="1"/>
  <c r="G16" i="1"/>
  <c r="F16" i="1"/>
  <c r="C16" i="1"/>
  <c r="B16" i="1"/>
  <c r="N15" i="1"/>
  <c r="L15" i="1"/>
  <c r="K15" i="1"/>
  <c r="E15" i="1"/>
  <c r="N14" i="1"/>
  <c r="L14" i="1"/>
  <c r="K14" i="1"/>
  <c r="K16" i="1" s="1"/>
  <c r="E14" i="1"/>
  <c r="Q13" i="1"/>
  <c r="N12" i="1"/>
  <c r="L12" i="1"/>
  <c r="K12" i="1"/>
  <c r="E12" i="1"/>
  <c r="P11" i="1"/>
  <c r="O11" i="1"/>
  <c r="M11" i="1"/>
  <c r="J11" i="1"/>
  <c r="I11" i="1"/>
  <c r="G11" i="1"/>
  <c r="F11" i="1"/>
  <c r="C11" i="1"/>
  <c r="B11" i="1"/>
  <c r="N10" i="1"/>
  <c r="L10" i="1"/>
  <c r="K10" i="1"/>
  <c r="E10" i="1"/>
  <c r="N9" i="1"/>
  <c r="L9" i="1"/>
  <c r="K9" i="1"/>
  <c r="E9" i="1"/>
  <c r="N8" i="1"/>
  <c r="Q7" i="1"/>
  <c r="Q6" i="1"/>
  <c r="N20" i="1" l="1"/>
  <c r="Q46" i="1"/>
  <c r="K20" i="1"/>
  <c r="H92" i="1"/>
  <c r="H99" i="1" s="1"/>
  <c r="H68" i="1"/>
  <c r="H69" i="1" s="1"/>
  <c r="Q18" i="1"/>
  <c r="E24" i="1"/>
  <c r="Q43" i="1"/>
  <c r="N24" i="1"/>
  <c r="P92" i="1"/>
  <c r="H33" i="1"/>
  <c r="H37" i="1" s="1"/>
  <c r="H39" i="1" s="1"/>
  <c r="H70" i="1" s="1"/>
  <c r="L16" i="1"/>
  <c r="Q15" i="1"/>
  <c r="E32" i="1"/>
  <c r="Q94" i="1"/>
  <c r="Q98" i="1"/>
  <c r="D16" i="1"/>
  <c r="Q48" i="1"/>
  <c r="N16" i="1"/>
  <c r="K11" i="1"/>
  <c r="B33" i="1"/>
  <c r="I33" i="1"/>
  <c r="I37" i="1" s="1"/>
  <c r="I39" i="1" s="1"/>
  <c r="P33" i="1"/>
  <c r="P37" i="1" s="1"/>
  <c r="P39" i="1" s="1"/>
  <c r="Q14" i="1"/>
  <c r="L24" i="1"/>
  <c r="L32" i="1"/>
  <c r="Q34" i="1"/>
  <c r="C92" i="1"/>
  <c r="C99" i="1" s="1"/>
  <c r="Q95" i="1"/>
  <c r="J92" i="1"/>
  <c r="J99" i="1" s="1"/>
  <c r="J33" i="1"/>
  <c r="J37" i="1" s="1"/>
  <c r="J39" i="1" s="1"/>
  <c r="Q12" i="1"/>
  <c r="D28" i="1"/>
  <c r="Q28" i="1" s="1"/>
  <c r="D32" i="1"/>
  <c r="Q54" i="1"/>
  <c r="F68" i="1"/>
  <c r="F69" i="1" s="1"/>
  <c r="P68" i="1"/>
  <c r="P69" i="1" s="1"/>
  <c r="Q74" i="1"/>
  <c r="I92" i="1"/>
  <c r="I99" i="1" s="1"/>
  <c r="M92" i="1"/>
  <c r="M99" i="1" s="1"/>
  <c r="K87" i="1"/>
  <c r="O92" i="1"/>
  <c r="O99" i="1" s="1"/>
  <c r="Q10" i="1"/>
  <c r="M33" i="1"/>
  <c r="M37" i="1" s="1"/>
  <c r="M39" i="1" s="1"/>
  <c r="M70" i="1" s="1"/>
  <c r="M100" i="1" s="1"/>
  <c r="M101" i="1" s="1"/>
  <c r="E20" i="1"/>
  <c r="Q31" i="1"/>
  <c r="K50" i="1"/>
  <c r="K68" i="1" s="1"/>
  <c r="K69" i="1" s="1"/>
  <c r="Q47" i="1"/>
  <c r="Q49" i="1"/>
  <c r="G68" i="1"/>
  <c r="G69" i="1" s="1"/>
  <c r="M68" i="1"/>
  <c r="M69" i="1" s="1"/>
  <c r="Q60" i="1"/>
  <c r="N92" i="1"/>
  <c r="N99" i="1" s="1"/>
  <c r="G92" i="1"/>
  <c r="G99" i="1" s="1"/>
  <c r="P99" i="1"/>
  <c r="F33" i="1"/>
  <c r="F37" i="1" s="1"/>
  <c r="F39" i="1" s="1"/>
  <c r="E11" i="1"/>
  <c r="G33" i="1"/>
  <c r="G37" i="1" s="1"/>
  <c r="G39" i="1" s="1"/>
  <c r="O33" i="1"/>
  <c r="O37" i="1" s="1"/>
  <c r="O39" i="1" s="1"/>
  <c r="Q20" i="1"/>
  <c r="K32" i="1"/>
  <c r="C68" i="1"/>
  <c r="C69" i="1" s="1"/>
  <c r="I68" i="1"/>
  <c r="I69" i="1" s="1"/>
  <c r="I70" i="1" s="1"/>
  <c r="I100" i="1" s="1"/>
  <c r="I101" i="1" s="1"/>
  <c r="Q66" i="1"/>
  <c r="Q72" i="1"/>
  <c r="Q75" i="1"/>
  <c r="Q78" i="1"/>
  <c r="Q97" i="1"/>
  <c r="B37" i="1"/>
  <c r="G70" i="1"/>
  <c r="L11" i="1"/>
  <c r="Q19" i="1"/>
  <c r="Q26" i="1"/>
  <c r="N32" i="1"/>
  <c r="Q44" i="1"/>
  <c r="E50" i="1"/>
  <c r="E55" i="1"/>
  <c r="E56" i="1" s="1"/>
  <c r="Q56" i="1" s="1"/>
  <c r="Q30" i="1"/>
  <c r="J68" i="1"/>
  <c r="J69" i="1" s="1"/>
  <c r="Q76" i="1"/>
  <c r="Q9" i="1"/>
  <c r="Q23" i="1"/>
  <c r="D24" i="1"/>
  <c r="Q35" i="1"/>
  <c r="B68" i="1"/>
  <c r="O64" i="1"/>
  <c r="Q64" i="1" s="1"/>
  <c r="Q77" i="1"/>
  <c r="L87" i="1"/>
  <c r="L92" i="1" s="1"/>
  <c r="L99" i="1" s="1"/>
  <c r="B91" i="1"/>
  <c r="Q91" i="1" s="1"/>
  <c r="Q90" i="1"/>
  <c r="D11" i="1"/>
  <c r="Q8" i="1"/>
  <c r="L50" i="1"/>
  <c r="L68" i="1" s="1"/>
  <c r="L69" i="1" s="1"/>
  <c r="E92" i="1"/>
  <c r="E99" i="1" s="1"/>
  <c r="Q73" i="1"/>
  <c r="Q81" i="1"/>
  <c r="N11" i="1"/>
  <c r="C33" i="1"/>
  <c r="C37" i="1" s="1"/>
  <c r="C39" i="1" s="1"/>
  <c r="C70" i="1" s="1"/>
  <c r="Q22" i="1"/>
  <c r="D68" i="1"/>
  <c r="D69" i="1" s="1"/>
  <c r="Q65" i="1"/>
  <c r="Q80" i="1"/>
  <c r="K92" i="1"/>
  <c r="K99" i="1" s="1"/>
  <c r="B87" i="1"/>
  <c r="Q85" i="1"/>
  <c r="D92" i="1"/>
  <c r="D99" i="1" s="1"/>
  <c r="Q79" i="1"/>
  <c r="Q45" i="1"/>
  <c r="E16" i="1"/>
  <c r="N50" i="1"/>
  <c r="N68" i="1" s="1"/>
  <c r="N69" i="1" s="1"/>
  <c r="H100" i="1" l="1"/>
  <c r="H101" i="1" s="1"/>
  <c r="Q16" i="1"/>
  <c r="F70" i="1"/>
  <c r="F100" i="1" s="1"/>
  <c r="F101" i="1" s="1"/>
  <c r="K33" i="1"/>
  <c r="K37" i="1" s="1"/>
  <c r="K39" i="1" s="1"/>
  <c r="K70" i="1" s="1"/>
  <c r="K100" i="1" s="1"/>
  <c r="K101" i="1" s="1"/>
  <c r="E33" i="1"/>
  <c r="E37" i="1" s="1"/>
  <c r="E39" i="1" s="1"/>
  <c r="D33" i="1"/>
  <c r="D37" i="1" s="1"/>
  <c r="D39" i="1" s="1"/>
  <c r="D70" i="1" s="1"/>
  <c r="D100" i="1" s="1"/>
  <c r="D101" i="1" s="1"/>
  <c r="J70" i="1"/>
  <c r="J100" i="1" s="1"/>
  <c r="J101" i="1" s="1"/>
  <c r="L33" i="1"/>
  <c r="L37" i="1" s="1"/>
  <c r="L39" i="1" s="1"/>
  <c r="L70" i="1" s="1"/>
  <c r="L100" i="1" s="1"/>
  <c r="L101" i="1" s="1"/>
  <c r="P70" i="1"/>
  <c r="P100" i="1" s="1"/>
  <c r="P101" i="1" s="1"/>
  <c r="C100" i="1"/>
  <c r="C101" i="1" s="1"/>
  <c r="Q11" i="1"/>
  <c r="Q55" i="1"/>
  <c r="Q32" i="1"/>
  <c r="G100" i="1"/>
  <c r="G101" i="1" s="1"/>
  <c r="B39" i="1"/>
  <c r="Q50" i="1"/>
  <c r="Q24" i="1"/>
  <c r="B69" i="1"/>
  <c r="E68" i="1"/>
  <c r="E69" i="1" s="1"/>
  <c r="E70" i="1" s="1"/>
  <c r="E100" i="1" s="1"/>
  <c r="E101" i="1" s="1"/>
  <c r="O68" i="1"/>
  <c r="O69" i="1" s="1"/>
  <c r="O70" i="1" s="1"/>
  <c r="O100" i="1" s="1"/>
  <c r="O101" i="1" s="1"/>
  <c r="Q87" i="1"/>
  <c r="B92" i="1"/>
  <c r="N33" i="1"/>
  <c r="N37" i="1" s="1"/>
  <c r="N39" i="1" s="1"/>
  <c r="N70" i="1" s="1"/>
  <c r="N100" i="1" s="1"/>
  <c r="N101" i="1" s="1"/>
  <c r="Q68" i="1" l="1"/>
  <c r="Q69" i="1"/>
  <c r="Q92" i="1"/>
  <c r="B99" i="1"/>
  <c r="Q99" i="1" s="1"/>
  <c r="Q33" i="1"/>
  <c r="B70" i="1"/>
  <c r="Q39" i="1"/>
  <c r="Q37" i="1"/>
  <c r="Q70" i="1" l="1"/>
  <c r="B100" i="1"/>
  <c r="Q100" i="1" l="1"/>
  <c r="B101" i="1"/>
  <c r="Q101" i="1" s="1"/>
</calcChain>
</file>

<file path=xl/sharedStrings.xml><?xml version="1.0" encoding="utf-8"?>
<sst xmlns="http://schemas.openxmlformats.org/spreadsheetml/2006/main" count="106" uniqueCount="106">
  <si>
    <t>December</t>
  </si>
  <si>
    <t>November</t>
  </si>
  <si>
    <t>October</t>
  </si>
  <si>
    <t>September</t>
  </si>
  <si>
    <t>Income</t>
  </si>
  <si>
    <t xml:space="preserve">   400 Income</t>
  </si>
  <si>
    <t xml:space="preserve">      410 Membership income</t>
  </si>
  <si>
    <t xml:space="preserve">         411 Athlete registration</t>
  </si>
  <si>
    <t xml:space="preserve">            411-1 Athlete Registration -So Cal Split</t>
  </si>
  <si>
    <t xml:space="preserve">            411-2 Athlete Registration - USA Split</t>
  </si>
  <si>
    <t xml:space="preserve">         Total 411 Athlete registration</t>
  </si>
  <si>
    <t xml:space="preserve">         412 Affiliation change</t>
  </si>
  <si>
    <t xml:space="preserve">         413 Non-athlete single</t>
  </si>
  <si>
    <t xml:space="preserve">            413-1 Non-Athlete- So Cal Split</t>
  </si>
  <si>
    <t xml:space="preserve">            413-2 Non-Athlete - USA Split</t>
  </si>
  <si>
    <t xml:space="preserve">         Total 413 Non-athlete single</t>
  </si>
  <si>
    <t xml:space="preserve">         414 Flex</t>
  </si>
  <si>
    <t xml:space="preserve">            414-1 Flex- So Cal Split</t>
  </si>
  <si>
    <t xml:space="preserve">            414-2 Flex - USA Split</t>
  </si>
  <si>
    <t xml:space="preserve">         Total 414 Flex</t>
  </si>
  <si>
    <t xml:space="preserve">         415 Outreach</t>
  </si>
  <si>
    <t xml:space="preserve">            415-1 Outreach - So Cal Split</t>
  </si>
  <si>
    <t xml:space="preserve">            415-2 Outreach - USA Split</t>
  </si>
  <si>
    <t xml:space="preserve">         Total 415 Outreach</t>
  </si>
  <si>
    <t xml:space="preserve">         416 Seasonal</t>
  </si>
  <si>
    <t xml:space="preserve">            416-1 Seasonal - So Cal Split</t>
  </si>
  <si>
    <t xml:space="preserve">            416-2 Seasonal - USA Split</t>
  </si>
  <si>
    <t xml:space="preserve">         Total 416 Seasonal</t>
  </si>
  <si>
    <t xml:space="preserve">         418 Club membership</t>
  </si>
  <si>
    <t xml:space="preserve">            418-1 Club - So Cal Split</t>
  </si>
  <si>
    <t xml:space="preserve">            418-2 Club - USA Split</t>
  </si>
  <si>
    <t xml:space="preserve">         Total 418 Club membership</t>
  </si>
  <si>
    <t xml:space="preserve">      Total 410 Membership income</t>
  </si>
  <si>
    <t xml:space="preserve">      421 Meet income</t>
  </si>
  <si>
    <t xml:space="preserve">      422 Sanction fees</t>
  </si>
  <si>
    <t xml:space="preserve">      429 Other Meet Income</t>
  </si>
  <si>
    <t xml:space="preserve">   Total 400 Income</t>
  </si>
  <si>
    <t xml:space="preserve">   711 Desert Income</t>
  </si>
  <si>
    <t>Total Income</t>
  </si>
  <si>
    <t>Cost of Goods Sold</t>
  </si>
  <si>
    <t xml:space="preserve">   500 Direct expenses</t>
  </si>
  <si>
    <t xml:space="preserve">      510 Membership - USS</t>
  </si>
  <si>
    <t xml:space="preserve">         511 Athlete registration</t>
  </si>
  <si>
    <t xml:space="preserve">         513 Non-athlete single</t>
  </si>
  <si>
    <t xml:space="preserve">         514 Flex</t>
  </si>
  <si>
    <t xml:space="preserve">         515 Outreach</t>
  </si>
  <si>
    <t xml:space="preserve">         516 Seasonal</t>
  </si>
  <si>
    <t xml:space="preserve">         517 Non-athlete life</t>
  </si>
  <si>
    <t xml:space="preserve">         519 Other</t>
  </si>
  <si>
    <t xml:space="preserve">      Total 510 Membership - USS</t>
  </si>
  <si>
    <t xml:space="preserve">      530 Other meet expenses</t>
  </si>
  <si>
    <t xml:space="preserve">         556 Zone Meet Copayment</t>
  </si>
  <si>
    <t xml:space="preserve">            523 Officials</t>
  </si>
  <si>
    <t xml:space="preserve">            528 Meet settlement</t>
  </si>
  <si>
    <t xml:space="preserve">         Total 556 Zone Meet Copayment</t>
  </si>
  <si>
    <t xml:space="preserve">      Total 530 Other meet expenses</t>
  </si>
  <si>
    <t xml:space="preserve">      560 Athlete travel expenses</t>
  </si>
  <si>
    <t xml:space="preserve">         561 Senior nationals</t>
  </si>
  <si>
    <t xml:space="preserve">         562 Junior championships</t>
  </si>
  <si>
    <t xml:space="preserve">         563 US Open</t>
  </si>
  <si>
    <t xml:space="preserve">         564 Olympic selection</t>
  </si>
  <si>
    <t xml:space="preserve">         566 OW Nationals</t>
  </si>
  <si>
    <t xml:space="preserve">         569 Other</t>
  </si>
  <si>
    <t xml:space="preserve">      Total 560 Athlete travel expenses</t>
  </si>
  <si>
    <t xml:space="preserve">      601 Legal and accounting</t>
  </si>
  <si>
    <t xml:space="preserve">      608 Equipment Maintenance/Rental</t>
  </si>
  <si>
    <t xml:space="preserve">      613 Web Site</t>
  </si>
  <si>
    <t xml:space="preserve">   Total 500 Direct expenses</t>
  </si>
  <si>
    <t>Total Cost of Goods Sold</t>
  </si>
  <si>
    <t>Gross Profit</t>
  </si>
  <si>
    <t>Expenses</t>
  </si>
  <si>
    <t xml:space="preserve">   600 General and administrative</t>
  </si>
  <si>
    <t xml:space="preserve">      604 Outside services</t>
  </si>
  <si>
    <t xml:space="preserve">      605 Telephone</t>
  </si>
  <si>
    <t xml:space="preserve">      606 Office supplies</t>
  </si>
  <si>
    <t xml:space="preserve">      610 Salaries - Other</t>
  </si>
  <si>
    <t xml:space="preserve">      611 Payroll taxes</t>
  </si>
  <si>
    <t xml:space="preserve">      612 Rent</t>
  </si>
  <si>
    <t xml:space="preserve">      614 Bank service charges</t>
  </si>
  <si>
    <t xml:space="preserve">      616 Utilities</t>
  </si>
  <si>
    <t xml:space="preserve">      617 Merchant Fees</t>
  </si>
  <si>
    <t xml:space="preserve">      620 Officer and director expenses</t>
  </si>
  <si>
    <t xml:space="preserve">         623 Admin chairman</t>
  </si>
  <si>
    <t xml:space="preserve">         624 Senior chairman</t>
  </si>
  <si>
    <t xml:space="preserve">         625 Age group chairman</t>
  </si>
  <si>
    <t xml:space="preserve">         626 Officials' chairman</t>
  </si>
  <si>
    <t xml:space="preserve">      Total 620 Officer and director expenses</t>
  </si>
  <si>
    <t xml:space="preserve">      640 National convention expenses</t>
  </si>
  <si>
    <t xml:space="preserve">         642 General chairman</t>
  </si>
  <si>
    <t xml:space="preserve">         645 Age group chairman</t>
  </si>
  <si>
    <t xml:space="preserve">      Total 640 National convention expenses</t>
  </si>
  <si>
    <t xml:space="preserve">   Total 600 General and administrative</t>
  </si>
  <si>
    <t xml:space="preserve">   618 Other Office Travel Expenses</t>
  </si>
  <si>
    <t xml:space="preserve">      618-2 Hotel</t>
  </si>
  <si>
    <t xml:space="preserve">   Total 618 Other Office Travel Expenses</t>
  </si>
  <si>
    <t xml:space="preserve">   66000 Payroll Expenses</t>
  </si>
  <si>
    <t xml:space="preserve">   Melio Credit card fee</t>
  </si>
  <si>
    <t xml:space="preserve">   QuickBooks and Bill.com Payments Fees</t>
  </si>
  <si>
    <t>Total Expenses</t>
  </si>
  <si>
    <t>Net Operating Income</t>
  </si>
  <si>
    <t>Net Income</t>
  </si>
  <si>
    <t>Tuesday, Feb 15, 2022 09:31:08 AM GMT-8 - Accrual Basis</t>
  </si>
  <si>
    <t>Southern California Swimming, Inc.</t>
  </si>
  <si>
    <t>Profit and Loss by Class</t>
  </si>
  <si>
    <t>September 2021 - December 2021</t>
  </si>
  <si>
    <t>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</si>
</sst>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Calibri"/>
      <family val="2"/>
      <scheme val="minor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right" wrapText="1"/>
    </xf>
    <xf numFmtId="165" fontId="1" fillId="0" borderId="1" xfId="0" applyNumberFormat="1" applyFont="1" applyBorder="1" applyAlignment="1">
      <alignment horizontal="right" wrapText="1"/>
    </xf>
    <xf numFmtId="165" fontId="1" fillId="0" borderId="2" xfId="0" applyNumberFormat="1" applyFont="1" applyBorder="1" applyAlignment="1">
      <alignment horizontal="right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5"/>
  <sheetViews>
    <sheetView tabSelected="1" workbookViewId="0">
      <selection activeCell="X19" sqref="X19"/>
    </sheetView>
  </sheetViews>
  <sheetFormatPr defaultRowHeight="15" x14ac:dyDescent="0.25"/>
  <cols>
    <col min="1" max="1" width="36.5703125" customWidth="1"/>
    <col min="2" max="2" width="10.28515625" hidden="1" customWidth="1"/>
    <col min="3" max="3" width="8.5703125" hidden="1" customWidth="1"/>
    <col min="4" max="4" width="0.140625" customWidth="1"/>
    <col min="5" max="5" width="10.140625" customWidth="1"/>
    <col min="6" max="6" width="8.5703125" hidden="1" customWidth="1"/>
    <col min="7" max="7" width="12.140625" hidden="1" customWidth="1"/>
    <col min="8" max="8" width="0.140625" customWidth="1"/>
    <col min="9" max="9" width="10.28515625" hidden="1" customWidth="1"/>
    <col min="10" max="10" width="9.42578125" hidden="1" customWidth="1"/>
    <col min="11" max="11" width="11.140625" customWidth="1"/>
    <col min="12" max="12" width="10.28515625" customWidth="1"/>
    <col min="13" max="13" width="8.5703125" hidden="1" customWidth="1"/>
    <col min="14" max="14" width="10.28515625" customWidth="1"/>
    <col min="15" max="15" width="0.140625" hidden="1" customWidth="1"/>
    <col min="16" max="16" width="8.5703125" hidden="1" customWidth="1"/>
    <col min="17" max="17" width="12" customWidth="1"/>
  </cols>
  <sheetData>
    <row r="1" spans="1:17" ht="18" x14ac:dyDescent="0.25">
      <c r="A1" s="10" t="s">
        <v>102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ht="18" x14ac:dyDescent="0.25">
      <c r="A2" s="10" t="s">
        <v>103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25">
      <c r="A3" s="11" t="s">
        <v>104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x14ac:dyDescent="0.25">
      <c r="E4" s="6" t="s">
        <v>0</v>
      </c>
      <c r="F4" s="6"/>
      <c r="G4" s="6"/>
      <c r="H4" s="6"/>
      <c r="I4" s="6"/>
      <c r="J4" s="6"/>
      <c r="K4" s="6" t="s">
        <v>1</v>
      </c>
      <c r="L4" s="6" t="s">
        <v>2</v>
      </c>
      <c r="M4" s="6"/>
      <c r="N4" s="6" t="s">
        <v>3</v>
      </c>
      <c r="O4" s="6"/>
      <c r="P4" s="6"/>
      <c r="Q4" s="7" t="s">
        <v>105</v>
      </c>
    </row>
    <row r="5" spans="1:17" x14ac:dyDescent="0.25">
      <c r="A5" s="1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25">
      <c r="A6" s="1" t="s">
        <v>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3">
        <f t="shared" ref="Q6:Q39" si="0">((((((((((((((B6)+(C6))+(D6))+(E6))+(F6))+(G6))+(H6))+(I6))+(J6))+(K6))+(L6))+(M6))+(N6))+(O6))+(P6)</f>
        <v>0</v>
      </c>
    </row>
    <row r="7" spans="1:17" x14ac:dyDescent="0.25">
      <c r="A7" s="1" t="s">
        <v>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>
        <f t="shared" si="0"/>
        <v>0</v>
      </c>
    </row>
    <row r="8" spans="1:17" x14ac:dyDescent="0.25">
      <c r="A8" s="1" t="s">
        <v>7</v>
      </c>
      <c r="B8" s="2"/>
      <c r="C8" s="2"/>
      <c r="D8" s="3">
        <v>0</v>
      </c>
      <c r="E8" s="2"/>
      <c r="F8" s="2"/>
      <c r="G8" s="2"/>
      <c r="H8" s="2"/>
      <c r="I8" s="2"/>
      <c r="J8" s="2"/>
      <c r="K8" s="2"/>
      <c r="L8" s="2"/>
      <c r="M8" s="2"/>
      <c r="N8" s="3">
        <f>-7</f>
        <v>-7</v>
      </c>
      <c r="O8" s="2"/>
      <c r="P8" s="2"/>
      <c r="Q8" s="3">
        <f t="shared" si="0"/>
        <v>-7</v>
      </c>
    </row>
    <row r="9" spans="1:17" ht="23.25" x14ac:dyDescent="0.25">
      <c r="A9" s="1" t="s">
        <v>8</v>
      </c>
      <c r="B9" s="2"/>
      <c r="C9" s="2"/>
      <c r="D9" s="3">
        <v>0</v>
      </c>
      <c r="E9" s="3">
        <f>25924</f>
        <v>25924</v>
      </c>
      <c r="F9" s="2"/>
      <c r="G9" s="2"/>
      <c r="H9" s="3">
        <v>0</v>
      </c>
      <c r="I9" s="2"/>
      <c r="J9" s="2"/>
      <c r="K9" s="3">
        <f>14563</f>
        <v>14563</v>
      </c>
      <c r="L9" s="3">
        <f>28900</f>
        <v>28900</v>
      </c>
      <c r="M9" s="2"/>
      <c r="N9" s="3">
        <f>46925.56</f>
        <v>46925.56</v>
      </c>
      <c r="O9" s="2"/>
      <c r="P9" s="2"/>
      <c r="Q9" s="3">
        <f t="shared" si="0"/>
        <v>116312.56</v>
      </c>
    </row>
    <row r="10" spans="1:17" x14ac:dyDescent="0.25">
      <c r="A10" s="1" t="s">
        <v>9</v>
      </c>
      <c r="B10" s="2"/>
      <c r="C10" s="2"/>
      <c r="D10" s="3">
        <v>0</v>
      </c>
      <c r="E10" s="3">
        <f>214073</f>
        <v>214073</v>
      </c>
      <c r="F10" s="2"/>
      <c r="G10" s="2"/>
      <c r="H10" s="3">
        <v>0</v>
      </c>
      <c r="I10" s="2"/>
      <c r="J10" s="2"/>
      <c r="K10" s="3">
        <f>115268</f>
        <v>115268</v>
      </c>
      <c r="L10" s="3">
        <f>166130</f>
        <v>166130</v>
      </c>
      <c r="M10" s="2"/>
      <c r="N10" s="3">
        <f>375571.44</f>
        <v>375571.44</v>
      </c>
      <c r="O10" s="2"/>
      <c r="P10" s="2"/>
      <c r="Q10" s="3">
        <f t="shared" si="0"/>
        <v>871042.44</v>
      </c>
    </row>
    <row r="11" spans="1:17" x14ac:dyDescent="0.25">
      <c r="A11" s="1" t="s">
        <v>10</v>
      </c>
      <c r="B11" s="4">
        <f t="shared" ref="B11:P11" si="1">((B8)+(B9))+(B10)</f>
        <v>0</v>
      </c>
      <c r="C11" s="4">
        <f t="shared" si="1"/>
        <v>0</v>
      </c>
      <c r="D11" s="4">
        <f t="shared" si="1"/>
        <v>0</v>
      </c>
      <c r="E11" s="4">
        <f t="shared" si="1"/>
        <v>239997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129831</v>
      </c>
      <c r="L11" s="4">
        <f t="shared" si="1"/>
        <v>195030</v>
      </c>
      <c r="M11" s="4">
        <f t="shared" si="1"/>
        <v>0</v>
      </c>
      <c r="N11" s="4">
        <f t="shared" si="1"/>
        <v>422490</v>
      </c>
      <c r="O11" s="4">
        <f t="shared" si="1"/>
        <v>0</v>
      </c>
      <c r="P11" s="4">
        <f t="shared" si="1"/>
        <v>0</v>
      </c>
      <c r="Q11" s="4">
        <f t="shared" si="0"/>
        <v>987348</v>
      </c>
    </row>
    <row r="12" spans="1:17" x14ac:dyDescent="0.25">
      <c r="A12" s="1" t="s">
        <v>11</v>
      </c>
      <c r="B12" s="2"/>
      <c r="C12" s="2"/>
      <c r="D12" s="3">
        <v>0</v>
      </c>
      <c r="E12" s="3">
        <f>280</f>
        <v>280</v>
      </c>
      <c r="F12" s="2"/>
      <c r="G12" s="2"/>
      <c r="H12" s="3">
        <v>0</v>
      </c>
      <c r="I12" s="2"/>
      <c r="J12" s="2"/>
      <c r="K12" s="3">
        <f>470</f>
        <v>470</v>
      </c>
      <c r="L12" s="3">
        <f>400</f>
        <v>400</v>
      </c>
      <c r="M12" s="2"/>
      <c r="N12" s="3">
        <f>990</f>
        <v>990</v>
      </c>
      <c r="O12" s="2"/>
      <c r="P12" s="2"/>
      <c r="Q12" s="3">
        <f t="shared" si="0"/>
        <v>2140</v>
      </c>
    </row>
    <row r="13" spans="1:17" x14ac:dyDescent="0.25">
      <c r="A13" s="1" t="s">
        <v>12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3">
        <f t="shared" si="0"/>
        <v>0</v>
      </c>
    </row>
    <row r="14" spans="1:17" x14ac:dyDescent="0.25">
      <c r="A14" s="1" t="s">
        <v>13</v>
      </c>
      <c r="B14" s="2"/>
      <c r="C14" s="2"/>
      <c r="D14" s="3">
        <v>0</v>
      </c>
      <c r="E14" s="3">
        <f>990</f>
        <v>990</v>
      </c>
      <c r="F14" s="2"/>
      <c r="G14" s="2"/>
      <c r="H14" s="3">
        <v>0</v>
      </c>
      <c r="I14" s="2"/>
      <c r="J14" s="2"/>
      <c r="K14" s="3">
        <f>836</f>
        <v>836</v>
      </c>
      <c r="L14" s="3">
        <f>1967</f>
        <v>1967</v>
      </c>
      <c r="M14" s="2"/>
      <c r="N14" s="3">
        <f>1144</f>
        <v>1144</v>
      </c>
      <c r="O14" s="2"/>
      <c r="P14" s="2"/>
      <c r="Q14" s="3">
        <f t="shared" si="0"/>
        <v>4937</v>
      </c>
    </row>
    <row r="15" spans="1:17" x14ac:dyDescent="0.25">
      <c r="A15" s="1" t="s">
        <v>14</v>
      </c>
      <c r="B15" s="2"/>
      <c r="C15" s="2"/>
      <c r="D15" s="3">
        <v>0</v>
      </c>
      <c r="E15" s="3">
        <f>8240</f>
        <v>8240</v>
      </c>
      <c r="F15" s="2"/>
      <c r="G15" s="2"/>
      <c r="H15" s="3">
        <v>0</v>
      </c>
      <c r="I15" s="2"/>
      <c r="J15" s="2"/>
      <c r="K15" s="3">
        <f>6864</f>
        <v>6864</v>
      </c>
      <c r="L15" s="3">
        <f>15684</f>
        <v>15684</v>
      </c>
      <c r="M15" s="2"/>
      <c r="N15" s="3">
        <f>8548</f>
        <v>8548</v>
      </c>
      <c r="O15" s="2"/>
      <c r="P15" s="2"/>
      <c r="Q15" s="3">
        <f t="shared" si="0"/>
        <v>39336</v>
      </c>
    </row>
    <row r="16" spans="1:17" x14ac:dyDescent="0.25">
      <c r="A16" s="1" t="s">
        <v>15</v>
      </c>
      <c r="B16" s="4">
        <f t="shared" ref="B16:P16" si="2">((B13)+(B14))+(B15)</f>
        <v>0</v>
      </c>
      <c r="C16" s="4">
        <f t="shared" si="2"/>
        <v>0</v>
      </c>
      <c r="D16" s="4">
        <f t="shared" si="2"/>
        <v>0</v>
      </c>
      <c r="E16" s="4">
        <f t="shared" si="2"/>
        <v>9230</v>
      </c>
      <c r="F16" s="4">
        <f t="shared" si="2"/>
        <v>0</v>
      </c>
      <c r="G16" s="4">
        <f t="shared" si="2"/>
        <v>0</v>
      </c>
      <c r="H16" s="4">
        <f t="shared" si="2"/>
        <v>0</v>
      </c>
      <c r="I16" s="4">
        <f t="shared" si="2"/>
        <v>0</v>
      </c>
      <c r="J16" s="4">
        <f t="shared" si="2"/>
        <v>0</v>
      </c>
      <c r="K16" s="4">
        <f t="shared" si="2"/>
        <v>7700</v>
      </c>
      <c r="L16" s="4">
        <f t="shared" si="2"/>
        <v>17651</v>
      </c>
      <c r="M16" s="4">
        <f t="shared" si="2"/>
        <v>0</v>
      </c>
      <c r="N16" s="4">
        <f t="shared" si="2"/>
        <v>9692</v>
      </c>
      <c r="O16" s="4">
        <f t="shared" si="2"/>
        <v>0</v>
      </c>
      <c r="P16" s="4">
        <f t="shared" si="2"/>
        <v>0</v>
      </c>
      <c r="Q16" s="4">
        <f t="shared" si="0"/>
        <v>44273</v>
      </c>
    </row>
    <row r="17" spans="1:17" x14ac:dyDescent="0.25">
      <c r="A17" s="1" t="s">
        <v>16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3">
        <f t="shared" si="0"/>
        <v>0</v>
      </c>
    </row>
    <row r="18" spans="1:17" x14ac:dyDescent="0.25">
      <c r="A18" s="1" t="s">
        <v>17</v>
      </c>
      <c r="B18" s="2"/>
      <c r="C18" s="2"/>
      <c r="D18" s="3">
        <v>0</v>
      </c>
      <c r="E18" s="3">
        <f>2175</f>
        <v>2175</v>
      </c>
      <c r="F18" s="2"/>
      <c r="G18" s="2"/>
      <c r="H18" s="3">
        <v>0</v>
      </c>
      <c r="I18" s="2"/>
      <c r="J18" s="2"/>
      <c r="K18" s="3">
        <f>3364</f>
        <v>3364</v>
      </c>
      <c r="L18" s="3">
        <f>8162.5</f>
        <v>8162.5</v>
      </c>
      <c r="M18" s="2"/>
      <c r="N18" s="3">
        <f>10494</f>
        <v>10494</v>
      </c>
      <c r="O18" s="2"/>
      <c r="P18" s="2"/>
      <c r="Q18" s="3">
        <f t="shared" si="0"/>
        <v>24195.5</v>
      </c>
    </row>
    <row r="19" spans="1:17" x14ac:dyDescent="0.25">
      <c r="A19" s="1" t="s">
        <v>18</v>
      </c>
      <c r="B19" s="2"/>
      <c r="C19" s="2"/>
      <c r="D19" s="3">
        <v>0</v>
      </c>
      <c r="E19" s="3">
        <f>2175</f>
        <v>2175</v>
      </c>
      <c r="F19" s="2"/>
      <c r="G19" s="2"/>
      <c r="H19" s="3">
        <v>0</v>
      </c>
      <c r="I19" s="2"/>
      <c r="J19" s="2"/>
      <c r="K19" s="3">
        <f>3364</f>
        <v>3364</v>
      </c>
      <c r="L19" s="3">
        <f>8162.5</f>
        <v>8162.5</v>
      </c>
      <c r="M19" s="2"/>
      <c r="N19" s="3">
        <f>10494</f>
        <v>10494</v>
      </c>
      <c r="O19" s="2"/>
      <c r="P19" s="2"/>
      <c r="Q19" s="3">
        <f t="shared" si="0"/>
        <v>24195.5</v>
      </c>
    </row>
    <row r="20" spans="1:17" x14ac:dyDescent="0.25">
      <c r="A20" s="1" t="s">
        <v>19</v>
      </c>
      <c r="B20" s="4">
        <f t="shared" ref="B20:P20" si="3">((B17)+(B18))+(B19)</f>
        <v>0</v>
      </c>
      <c r="C20" s="4">
        <f t="shared" si="3"/>
        <v>0</v>
      </c>
      <c r="D20" s="4">
        <v>0</v>
      </c>
      <c r="E20" s="4">
        <f t="shared" si="3"/>
        <v>4350</v>
      </c>
      <c r="F20" s="4">
        <f t="shared" si="3"/>
        <v>0</v>
      </c>
      <c r="G20" s="4">
        <f t="shared" si="3"/>
        <v>0</v>
      </c>
      <c r="H20" s="4">
        <v>0</v>
      </c>
      <c r="I20" s="4">
        <f t="shared" si="3"/>
        <v>0</v>
      </c>
      <c r="J20" s="4">
        <f t="shared" si="3"/>
        <v>0</v>
      </c>
      <c r="K20" s="4">
        <f t="shared" si="3"/>
        <v>6728</v>
      </c>
      <c r="L20" s="4">
        <f t="shared" si="3"/>
        <v>16325</v>
      </c>
      <c r="M20" s="4">
        <f t="shared" si="3"/>
        <v>0</v>
      </c>
      <c r="N20" s="4">
        <f t="shared" si="3"/>
        <v>20988</v>
      </c>
      <c r="O20" s="4">
        <f t="shared" si="3"/>
        <v>0</v>
      </c>
      <c r="P20" s="4">
        <f t="shared" si="3"/>
        <v>0</v>
      </c>
      <c r="Q20" s="4">
        <f t="shared" si="0"/>
        <v>48391</v>
      </c>
    </row>
    <row r="21" spans="1:17" x14ac:dyDescent="0.25">
      <c r="A21" s="1" t="s">
        <v>20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3">
        <f t="shared" si="0"/>
        <v>0</v>
      </c>
    </row>
    <row r="22" spans="1:17" x14ac:dyDescent="0.25">
      <c r="A22" s="1" t="s">
        <v>21</v>
      </c>
      <c r="B22" s="2"/>
      <c r="C22" s="2"/>
      <c r="D22" s="3">
        <f>0</f>
        <v>0</v>
      </c>
      <c r="E22" s="3">
        <f>84</f>
        <v>84</v>
      </c>
      <c r="F22" s="2"/>
      <c r="G22" s="2"/>
      <c r="H22" s="3">
        <v>0</v>
      </c>
      <c r="I22" s="2"/>
      <c r="J22" s="2"/>
      <c r="K22" s="3">
        <f>46</f>
        <v>46</v>
      </c>
      <c r="L22" s="3">
        <f>247</f>
        <v>247</v>
      </c>
      <c r="M22" s="2"/>
      <c r="N22" s="3">
        <f>156</f>
        <v>156</v>
      </c>
      <c r="O22" s="2"/>
      <c r="P22" s="2"/>
      <c r="Q22" s="3">
        <f t="shared" si="0"/>
        <v>533</v>
      </c>
    </row>
    <row r="23" spans="1:17" x14ac:dyDescent="0.25">
      <c r="A23" s="1" t="s">
        <v>22</v>
      </c>
      <c r="B23" s="2"/>
      <c r="C23" s="2"/>
      <c r="D23" s="3">
        <f>0</f>
        <v>0</v>
      </c>
      <c r="E23" s="3">
        <f>205</f>
        <v>205</v>
      </c>
      <c r="F23" s="2"/>
      <c r="G23" s="2"/>
      <c r="H23" s="3">
        <v>0</v>
      </c>
      <c r="I23" s="2"/>
      <c r="J23" s="2"/>
      <c r="K23" s="3">
        <f>105</f>
        <v>105</v>
      </c>
      <c r="L23" s="3">
        <f>605</f>
        <v>605</v>
      </c>
      <c r="M23" s="2"/>
      <c r="N23" s="3">
        <f>390</f>
        <v>390</v>
      </c>
      <c r="O23" s="2"/>
      <c r="P23" s="2"/>
      <c r="Q23" s="3">
        <f t="shared" si="0"/>
        <v>1305</v>
      </c>
    </row>
    <row r="24" spans="1:17" x14ac:dyDescent="0.25">
      <c r="A24" s="1" t="s">
        <v>23</v>
      </c>
      <c r="B24" s="4">
        <f t="shared" ref="B24:P24" si="4">((B21)+(B22))+(B23)</f>
        <v>0</v>
      </c>
      <c r="C24" s="4">
        <f t="shared" si="4"/>
        <v>0</v>
      </c>
      <c r="D24" s="4">
        <f t="shared" si="4"/>
        <v>0</v>
      </c>
      <c r="E24" s="4">
        <f t="shared" si="4"/>
        <v>289</v>
      </c>
      <c r="F24" s="4">
        <f t="shared" si="4"/>
        <v>0</v>
      </c>
      <c r="G24" s="4">
        <f t="shared" si="4"/>
        <v>0</v>
      </c>
      <c r="H24" s="4">
        <f t="shared" si="4"/>
        <v>0</v>
      </c>
      <c r="I24" s="4">
        <f t="shared" si="4"/>
        <v>0</v>
      </c>
      <c r="J24" s="4">
        <f t="shared" si="4"/>
        <v>0</v>
      </c>
      <c r="K24" s="4">
        <f t="shared" si="4"/>
        <v>151</v>
      </c>
      <c r="L24" s="4">
        <f t="shared" si="4"/>
        <v>852</v>
      </c>
      <c r="M24" s="4">
        <f t="shared" si="4"/>
        <v>0</v>
      </c>
      <c r="N24" s="4">
        <f t="shared" si="4"/>
        <v>546</v>
      </c>
      <c r="O24" s="4">
        <f t="shared" si="4"/>
        <v>0</v>
      </c>
      <c r="P24" s="4">
        <f t="shared" si="4"/>
        <v>0</v>
      </c>
      <c r="Q24" s="4">
        <f t="shared" si="0"/>
        <v>1838</v>
      </c>
    </row>
    <row r="25" spans="1:17" x14ac:dyDescent="0.25">
      <c r="A25" s="1" t="s">
        <v>24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3">
        <f t="shared" si="0"/>
        <v>0</v>
      </c>
    </row>
    <row r="26" spans="1:17" x14ac:dyDescent="0.25">
      <c r="A26" s="1" t="s">
        <v>25</v>
      </c>
      <c r="B26" s="2"/>
      <c r="C26" s="2"/>
      <c r="D26" s="3">
        <v>0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3">
        <f t="shared" si="0"/>
        <v>0</v>
      </c>
    </row>
    <row r="27" spans="1:17" x14ac:dyDescent="0.25">
      <c r="A27" s="1" t="s">
        <v>26</v>
      </c>
      <c r="B27" s="2"/>
      <c r="C27" s="2"/>
      <c r="D27" s="3">
        <v>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3">
        <f t="shared" si="0"/>
        <v>0</v>
      </c>
    </row>
    <row r="28" spans="1:17" x14ac:dyDescent="0.25">
      <c r="A28" s="1" t="s">
        <v>27</v>
      </c>
      <c r="B28" s="4">
        <f t="shared" ref="B28:P28" si="5">((B25)+(B26))+(B27)</f>
        <v>0</v>
      </c>
      <c r="C28" s="4">
        <f t="shared" si="5"/>
        <v>0</v>
      </c>
      <c r="D28" s="4">
        <f t="shared" si="5"/>
        <v>0</v>
      </c>
      <c r="E28" s="4">
        <f t="shared" si="5"/>
        <v>0</v>
      </c>
      <c r="F28" s="4">
        <f t="shared" si="5"/>
        <v>0</v>
      </c>
      <c r="G28" s="4">
        <f t="shared" si="5"/>
        <v>0</v>
      </c>
      <c r="H28" s="4">
        <f t="shared" si="5"/>
        <v>0</v>
      </c>
      <c r="I28" s="4">
        <f t="shared" si="5"/>
        <v>0</v>
      </c>
      <c r="J28" s="4">
        <f t="shared" si="5"/>
        <v>0</v>
      </c>
      <c r="K28" s="4">
        <f t="shared" si="5"/>
        <v>0</v>
      </c>
      <c r="L28" s="4">
        <f t="shared" si="5"/>
        <v>0</v>
      </c>
      <c r="M28" s="4">
        <f t="shared" si="5"/>
        <v>0</v>
      </c>
      <c r="N28" s="4">
        <f t="shared" si="5"/>
        <v>0</v>
      </c>
      <c r="O28" s="4">
        <f t="shared" si="5"/>
        <v>0</v>
      </c>
      <c r="P28" s="4">
        <f t="shared" si="5"/>
        <v>0</v>
      </c>
      <c r="Q28" s="4">
        <f t="shared" si="0"/>
        <v>0</v>
      </c>
    </row>
    <row r="29" spans="1:17" x14ac:dyDescent="0.25">
      <c r="A29" s="1" t="s">
        <v>28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3">
        <f t="shared" si="0"/>
        <v>0</v>
      </c>
    </row>
    <row r="30" spans="1:17" x14ac:dyDescent="0.25">
      <c r="A30" s="1" t="s">
        <v>29</v>
      </c>
      <c r="B30" s="2"/>
      <c r="C30" s="2"/>
      <c r="D30" s="3">
        <v>0</v>
      </c>
      <c r="E30" s="3">
        <f>2610</f>
        <v>2610</v>
      </c>
      <c r="F30" s="2"/>
      <c r="G30" s="2"/>
      <c r="H30" s="3">
        <v>0</v>
      </c>
      <c r="I30" s="2"/>
      <c r="J30" s="2"/>
      <c r="K30" s="3">
        <f>3990</f>
        <v>3990</v>
      </c>
      <c r="L30" s="3">
        <f>2140</f>
        <v>2140</v>
      </c>
      <c r="M30" s="2"/>
      <c r="N30" s="3">
        <f>1310</f>
        <v>1310</v>
      </c>
      <c r="O30" s="2"/>
      <c r="P30" s="2"/>
      <c r="Q30" s="3">
        <f t="shared" si="0"/>
        <v>10050</v>
      </c>
    </row>
    <row r="31" spans="1:17" x14ac:dyDescent="0.25">
      <c r="A31" s="1" t="s">
        <v>30</v>
      </c>
      <c r="B31" s="2"/>
      <c r="C31" s="2"/>
      <c r="D31" s="3">
        <v>0</v>
      </c>
      <c r="E31" s="3">
        <f>840</f>
        <v>840</v>
      </c>
      <c r="F31" s="2"/>
      <c r="G31" s="2"/>
      <c r="H31" s="3">
        <v>0</v>
      </c>
      <c r="I31" s="2"/>
      <c r="J31" s="2"/>
      <c r="K31" s="3">
        <f>1260</f>
        <v>1260</v>
      </c>
      <c r="L31" s="3">
        <f>560</f>
        <v>560</v>
      </c>
      <c r="M31" s="2"/>
      <c r="N31" s="3">
        <f>490</f>
        <v>490</v>
      </c>
      <c r="O31" s="2"/>
      <c r="P31" s="2"/>
      <c r="Q31" s="3">
        <f t="shared" si="0"/>
        <v>3150</v>
      </c>
    </row>
    <row r="32" spans="1:17" x14ac:dyDescent="0.25">
      <c r="A32" s="1" t="s">
        <v>31</v>
      </c>
      <c r="B32" s="4">
        <f t="shared" ref="B32:P32" si="6">((B29)+(B30))+(B31)</f>
        <v>0</v>
      </c>
      <c r="C32" s="4">
        <f t="shared" si="6"/>
        <v>0</v>
      </c>
      <c r="D32" s="4">
        <f t="shared" si="6"/>
        <v>0</v>
      </c>
      <c r="E32" s="4">
        <f t="shared" si="6"/>
        <v>3450</v>
      </c>
      <c r="F32" s="4">
        <f t="shared" si="6"/>
        <v>0</v>
      </c>
      <c r="G32" s="4">
        <f t="shared" si="6"/>
        <v>0</v>
      </c>
      <c r="H32" s="4">
        <f t="shared" si="6"/>
        <v>0</v>
      </c>
      <c r="I32" s="4">
        <f t="shared" si="6"/>
        <v>0</v>
      </c>
      <c r="J32" s="4">
        <f t="shared" si="6"/>
        <v>0</v>
      </c>
      <c r="K32" s="4">
        <f t="shared" si="6"/>
        <v>5250</v>
      </c>
      <c r="L32" s="4">
        <f t="shared" si="6"/>
        <v>2700</v>
      </c>
      <c r="M32" s="4">
        <f t="shared" si="6"/>
        <v>0</v>
      </c>
      <c r="N32" s="4">
        <f t="shared" si="6"/>
        <v>1800</v>
      </c>
      <c r="O32" s="4">
        <f t="shared" si="6"/>
        <v>0</v>
      </c>
      <c r="P32" s="4">
        <f t="shared" si="6"/>
        <v>0</v>
      </c>
      <c r="Q32" s="4">
        <f t="shared" si="0"/>
        <v>13200</v>
      </c>
    </row>
    <row r="33" spans="1:17" x14ac:dyDescent="0.25">
      <c r="A33" s="1" t="s">
        <v>32</v>
      </c>
      <c r="B33" s="4">
        <f t="shared" ref="B33:P33" si="7">(((((((B7)+(B11))+(B12))+(B16))+(B20))+(B24))+(B28))+(B32)</f>
        <v>0</v>
      </c>
      <c r="C33" s="4">
        <f t="shared" si="7"/>
        <v>0</v>
      </c>
      <c r="D33" s="4">
        <f t="shared" si="7"/>
        <v>0</v>
      </c>
      <c r="E33" s="4">
        <f t="shared" si="7"/>
        <v>257596</v>
      </c>
      <c r="F33" s="4">
        <f t="shared" si="7"/>
        <v>0</v>
      </c>
      <c r="G33" s="4">
        <f t="shared" si="7"/>
        <v>0</v>
      </c>
      <c r="H33" s="4">
        <f t="shared" si="7"/>
        <v>0</v>
      </c>
      <c r="I33" s="4">
        <f t="shared" si="7"/>
        <v>0</v>
      </c>
      <c r="J33" s="4">
        <f t="shared" si="7"/>
        <v>0</v>
      </c>
      <c r="K33" s="4">
        <f t="shared" si="7"/>
        <v>150130</v>
      </c>
      <c r="L33" s="4">
        <f t="shared" si="7"/>
        <v>232958</v>
      </c>
      <c r="M33" s="4">
        <f t="shared" si="7"/>
        <v>0</v>
      </c>
      <c r="N33" s="4">
        <f t="shared" si="7"/>
        <v>456506</v>
      </c>
      <c r="O33" s="4">
        <f t="shared" si="7"/>
        <v>0</v>
      </c>
      <c r="P33" s="4">
        <f t="shared" si="7"/>
        <v>0</v>
      </c>
      <c r="Q33" s="4">
        <f t="shared" si="0"/>
        <v>1097190</v>
      </c>
    </row>
    <row r="34" spans="1:17" x14ac:dyDescent="0.25">
      <c r="A34" s="1" t="s">
        <v>33</v>
      </c>
      <c r="B34" s="2"/>
      <c r="C34" s="2"/>
      <c r="D34" s="3">
        <v>0</v>
      </c>
      <c r="E34" s="2"/>
      <c r="F34" s="2"/>
      <c r="G34" s="2"/>
      <c r="H34" s="2"/>
      <c r="I34" s="2"/>
      <c r="J34" s="3">
        <v>0</v>
      </c>
      <c r="K34" s="3">
        <f>2513.4</f>
        <v>2513.4</v>
      </c>
      <c r="L34" s="3">
        <f>20864.4</f>
        <v>20864.400000000001</v>
      </c>
      <c r="M34" s="2"/>
      <c r="N34" s="3">
        <f>8685.65</f>
        <v>8685.65</v>
      </c>
      <c r="O34" s="2"/>
      <c r="P34" s="2"/>
      <c r="Q34" s="3">
        <f t="shared" si="0"/>
        <v>32063.450000000004</v>
      </c>
    </row>
    <row r="35" spans="1:17" x14ac:dyDescent="0.25">
      <c r="A35" s="1" t="s">
        <v>34</v>
      </c>
      <c r="B35" s="2"/>
      <c r="C35" s="2"/>
      <c r="D35" s="3">
        <v>0</v>
      </c>
      <c r="E35" s="3">
        <f>1055</f>
        <v>1055</v>
      </c>
      <c r="F35" s="2"/>
      <c r="G35" s="2"/>
      <c r="H35" s="3">
        <v>0</v>
      </c>
      <c r="I35" s="2"/>
      <c r="J35" s="2"/>
      <c r="K35" s="3">
        <f>-60</f>
        <v>-60</v>
      </c>
      <c r="L35" s="3">
        <f>1810.5</f>
        <v>1810.5</v>
      </c>
      <c r="M35" s="2"/>
      <c r="N35" s="2"/>
      <c r="O35" s="2"/>
      <c r="P35" s="2"/>
      <c r="Q35" s="3">
        <f t="shared" si="0"/>
        <v>2805.5</v>
      </c>
    </row>
    <row r="36" spans="1:17" x14ac:dyDescent="0.25">
      <c r="A36" s="1" t="s">
        <v>35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3">
        <f>2030</f>
        <v>2030</v>
      </c>
      <c r="M36" s="2"/>
      <c r="N36" s="2"/>
      <c r="O36" s="2"/>
      <c r="P36" s="2"/>
      <c r="Q36" s="3">
        <f t="shared" si="0"/>
        <v>2030</v>
      </c>
    </row>
    <row r="37" spans="1:17" x14ac:dyDescent="0.25">
      <c r="A37" s="1" t="s">
        <v>36</v>
      </c>
      <c r="B37" s="4">
        <f t="shared" ref="B37:P37" si="8">((((B6)+(B33))+(B34))+(B35))+(B36)</f>
        <v>0</v>
      </c>
      <c r="C37" s="4">
        <f t="shared" si="8"/>
        <v>0</v>
      </c>
      <c r="D37" s="4">
        <f t="shared" si="8"/>
        <v>0</v>
      </c>
      <c r="E37" s="4">
        <f t="shared" si="8"/>
        <v>258651</v>
      </c>
      <c r="F37" s="4">
        <f t="shared" si="8"/>
        <v>0</v>
      </c>
      <c r="G37" s="4">
        <f t="shared" si="8"/>
        <v>0</v>
      </c>
      <c r="H37" s="4">
        <f t="shared" si="8"/>
        <v>0</v>
      </c>
      <c r="I37" s="4">
        <f t="shared" si="8"/>
        <v>0</v>
      </c>
      <c r="J37" s="4">
        <f t="shared" si="8"/>
        <v>0</v>
      </c>
      <c r="K37" s="4">
        <f t="shared" si="8"/>
        <v>152583.4</v>
      </c>
      <c r="L37" s="4">
        <f t="shared" si="8"/>
        <v>257662.9</v>
      </c>
      <c r="M37" s="4">
        <f t="shared" si="8"/>
        <v>0</v>
      </c>
      <c r="N37" s="4">
        <f t="shared" si="8"/>
        <v>465191.65</v>
      </c>
      <c r="O37" s="4">
        <f t="shared" si="8"/>
        <v>0</v>
      </c>
      <c r="P37" s="4">
        <f t="shared" si="8"/>
        <v>0</v>
      </c>
      <c r="Q37" s="4">
        <f t="shared" si="0"/>
        <v>1134088.9500000002</v>
      </c>
    </row>
    <row r="38" spans="1:17" x14ac:dyDescent="0.25">
      <c r="A38" s="1" t="s">
        <v>37</v>
      </c>
      <c r="B38" s="2"/>
      <c r="C38" s="2"/>
      <c r="D38" s="2"/>
      <c r="E38" s="2"/>
      <c r="F38" s="3">
        <v>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3">
        <f t="shared" si="0"/>
        <v>0</v>
      </c>
    </row>
    <row r="39" spans="1:17" x14ac:dyDescent="0.25">
      <c r="A39" s="1" t="s">
        <v>38</v>
      </c>
      <c r="B39" s="4">
        <f t="shared" ref="B39:P39" si="9">(B37)+(B38)</f>
        <v>0</v>
      </c>
      <c r="C39" s="4">
        <f t="shared" si="9"/>
        <v>0</v>
      </c>
      <c r="D39" s="4">
        <f t="shared" si="9"/>
        <v>0</v>
      </c>
      <c r="E39" s="4">
        <f t="shared" si="9"/>
        <v>258651</v>
      </c>
      <c r="F39" s="4">
        <f t="shared" si="9"/>
        <v>0</v>
      </c>
      <c r="G39" s="4">
        <f t="shared" si="9"/>
        <v>0</v>
      </c>
      <c r="H39" s="4">
        <f t="shared" si="9"/>
        <v>0</v>
      </c>
      <c r="I39" s="4">
        <f t="shared" si="9"/>
        <v>0</v>
      </c>
      <c r="J39" s="4">
        <f t="shared" si="9"/>
        <v>0</v>
      </c>
      <c r="K39" s="4">
        <f t="shared" si="9"/>
        <v>152583.4</v>
      </c>
      <c r="L39" s="4">
        <f t="shared" si="9"/>
        <v>257662.9</v>
      </c>
      <c r="M39" s="4">
        <f t="shared" si="9"/>
        <v>0</v>
      </c>
      <c r="N39" s="4">
        <f t="shared" si="9"/>
        <v>465191.65</v>
      </c>
      <c r="O39" s="4">
        <f t="shared" si="9"/>
        <v>0</v>
      </c>
      <c r="P39" s="4">
        <f t="shared" si="9"/>
        <v>0</v>
      </c>
      <c r="Q39" s="4">
        <f t="shared" si="0"/>
        <v>1134088.9500000002</v>
      </c>
    </row>
    <row r="40" spans="1:17" x14ac:dyDescent="0.25">
      <c r="A40" s="1" t="s">
        <v>39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x14ac:dyDescent="0.25">
      <c r="A41" s="1" t="s">
        <v>40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3">
        <f t="shared" ref="Q41:Q70" si="10">((((((((((((((B41)+(C41))+(D41))+(E41))+(F41))+(G41))+(H41))+(I41))+(J41))+(K41))+(L41))+(M41))+(N41))+(O41))+(P41)</f>
        <v>0</v>
      </c>
    </row>
    <row r="42" spans="1:17" x14ac:dyDescent="0.25">
      <c r="A42" s="1" t="s">
        <v>41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3">
        <f t="shared" si="10"/>
        <v>0</v>
      </c>
    </row>
    <row r="43" spans="1:17" x14ac:dyDescent="0.25">
      <c r="A43" s="1" t="s">
        <v>42</v>
      </c>
      <c r="B43" s="2"/>
      <c r="C43" s="2"/>
      <c r="D43" s="2"/>
      <c r="E43" s="3">
        <f>220506</f>
        <v>220506</v>
      </c>
      <c r="F43" s="2"/>
      <c r="G43" s="2"/>
      <c r="H43" s="2"/>
      <c r="I43" s="2"/>
      <c r="J43" s="2"/>
      <c r="K43" s="3">
        <f>112662</f>
        <v>112662</v>
      </c>
      <c r="L43" s="3">
        <f>177738</f>
        <v>177738</v>
      </c>
      <c r="M43" s="2"/>
      <c r="N43" s="3">
        <f>394106</f>
        <v>394106</v>
      </c>
      <c r="O43" s="2"/>
      <c r="P43" s="2"/>
      <c r="Q43" s="3">
        <f t="shared" si="10"/>
        <v>905012</v>
      </c>
    </row>
    <row r="44" spans="1:17" x14ac:dyDescent="0.25">
      <c r="A44" s="1" t="s">
        <v>43</v>
      </c>
      <c r="B44" s="2"/>
      <c r="C44" s="2"/>
      <c r="D44" s="2"/>
      <c r="E44" s="3">
        <f>16231</f>
        <v>16231</v>
      </c>
      <c r="F44" s="2"/>
      <c r="G44" s="2"/>
      <c r="H44" s="2"/>
      <c r="I44" s="2"/>
      <c r="J44" s="2"/>
      <c r="K44" s="3">
        <f>11352</f>
        <v>11352</v>
      </c>
      <c r="L44" s="3">
        <f>12936</f>
        <v>12936</v>
      </c>
      <c r="M44" s="2"/>
      <c r="N44" s="3">
        <f>16990</f>
        <v>16990</v>
      </c>
      <c r="O44" s="2"/>
      <c r="P44" s="2"/>
      <c r="Q44" s="3">
        <f t="shared" si="10"/>
        <v>57509</v>
      </c>
    </row>
    <row r="45" spans="1:17" x14ac:dyDescent="0.25">
      <c r="A45" s="1" t="s">
        <v>44</v>
      </c>
      <c r="B45" s="2"/>
      <c r="C45" s="2"/>
      <c r="D45" s="2"/>
      <c r="E45" s="3">
        <f>2090</f>
        <v>2090</v>
      </c>
      <c r="F45" s="2"/>
      <c r="G45" s="2"/>
      <c r="H45" s="2"/>
      <c r="I45" s="2"/>
      <c r="J45" s="2"/>
      <c r="K45" s="3">
        <f>2660</f>
        <v>2660</v>
      </c>
      <c r="L45" s="3">
        <f>5870</f>
        <v>5870</v>
      </c>
      <c r="M45" s="2"/>
      <c r="N45" s="3">
        <f>13560</f>
        <v>13560</v>
      </c>
      <c r="O45" s="2"/>
      <c r="P45" s="2"/>
      <c r="Q45" s="3">
        <f t="shared" si="10"/>
        <v>24180</v>
      </c>
    </row>
    <row r="46" spans="1:17" x14ac:dyDescent="0.25">
      <c r="A46" s="1" t="s">
        <v>45</v>
      </c>
      <c r="B46" s="2"/>
      <c r="C46" s="2"/>
      <c r="D46" s="2"/>
      <c r="E46" s="3">
        <f>240</f>
        <v>240</v>
      </c>
      <c r="F46" s="2"/>
      <c r="G46" s="2"/>
      <c r="H46" s="2"/>
      <c r="I46" s="2"/>
      <c r="J46" s="2"/>
      <c r="K46" s="3">
        <f>480</f>
        <v>480</v>
      </c>
      <c r="L46" s="3">
        <f>560</f>
        <v>560</v>
      </c>
      <c r="M46" s="2"/>
      <c r="N46" s="3">
        <f>470</f>
        <v>470</v>
      </c>
      <c r="O46" s="2"/>
      <c r="P46" s="2"/>
      <c r="Q46" s="3">
        <f t="shared" si="10"/>
        <v>1750</v>
      </c>
    </row>
    <row r="47" spans="1:17" x14ac:dyDescent="0.25">
      <c r="A47" s="1" t="s">
        <v>46</v>
      </c>
      <c r="B47" s="2"/>
      <c r="C47" s="2"/>
      <c r="D47" s="2"/>
      <c r="E47" s="3">
        <f>0</f>
        <v>0</v>
      </c>
      <c r="F47" s="2"/>
      <c r="G47" s="2"/>
      <c r="H47" s="2"/>
      <c r="I47" s="2"/>
      <c r="J47" s="2"/>
      <c r="K47" s="3">
        <f>0</f>
        <v>0</v>
      </c>
      <c r="L47" s="3">
        <f>0</f>
        <v>0</v>
      </c>
      <c r="M47" s="2"/>
      <c r="N47" s="3">
        <f>660</f>
        <v>660</v>
      </c>
      <c r="O47" s="2"/>
      <c r="P47" s="2"/>
      <c r="Q47" s="3">
        <f t="shared" si="10"/>
        <v>660</v>
      </c>
    </row>
    <row r="48" spans="1:17" x14ac:dyDescent="0.25">
      <c r="A48" s="1" t="s">
        <v>47</v>
      </c>
      <c r="B48" s="2"/>
      <c r="C48" s="2"/>
      <c r="D48" s="2"/>
      <c r="E48" s="3">
        <f>0</f>
        <v>0</v>
      </c>
      <c r="F48" s="2"/>
      <c r="G48" s="2"/>
      <c r="H48" s="2"/>
      <c r="I48" s="2"/>
      <c r="J48" s="2"/>
      <c r="K48" s="3">
        <f>2450</f>
        <v>2450</v>
      </c>
      <c r="L48" s="3">
        <f>0</f>
        <v>0</v>
      </c>
      <c r="M48" s="2"/>
      <c r="N48" s="3">
        <f>0</f>
        <v>0</v>
      </c>
      <c r="O48" s="2"/>
      <c r="P48" s="2"/>
      <c r="Q48" s="3">
        <f t="shared" si="10"/>
        <v>2450</v>
      </c>
    </row>
    <row r="49" spans="1:17" x14ac:dyDescent="0.25">
      <c r="A49" s="1" t="s">
        <v>48</v>
      </c>
      <c r="B49" s="2"/>
      <c r="C49" s="2"/>
      <c r="D49" s="2"/>
      <c r="E49" s="3">
        <f>2940</f>
        <v>2940</v>
      </c>
      <c r="F49" s="2"/>
      <c r="G49" s="2"/>
      <c r="H49" s="2"/>
      <c r="I49" s="2"/>
      <c r="J49" s="2"/>
      <c r="K49" s="3">
        <f>70</f>
        <v>70</v>
      </c>
      <c r="L49" s="3">
        <f>1680</f>
        <v>1680</v>
      </c>
      <c r="M49" s="2"/>
      <c r="N49" s="3">
        <f>910</f>
        <v>910</v>
      </c>
      <c r="O49" s="2"/>
      <c r="P49" s="2"/>
      <c r="Q49" s="3">
        <f t="shared" si="10"/>
        <v>5600</v>
      </c>
    </row>
    <row r="50" spans="1:17" x14ac:dyDescent="0.25">
      <c r="A50" s="1" t="s">
        <v>49</v>
      </c>
      <c r="B50" s="4">
        <f t="shared" ref="B50:P50" si="11">(((((((B42)+(B43))+(B44))+(B45))+(B46))+(B47))+(B48))+(B49)</f>
        <v>0</v>
      </c>
      <c r="C50" s="4">
        <f t="shared" si="11"/>
        <v>0</v>
      </c>
      <c r="D50" s="4">
        <f t="shared" si="11"/>
        <v>0</v>
      </c>
      <c r="E50" s="4">
        <f t="shared" si="11"/>
        <v>242007</v>
      </c>
      <c r="F50" s="4">
        <f t="shared" si="11"/>
        <v>0</v>
      </c>
      <c r="G50" s="4">
        <f t="shared" si="11"/>
        <v>0</v>
      </c>
      <c r="H50" s="4">
        <f t="shared" si="11"/>
        <v>0</v>
      </c>
      <c r="I50" s="4">
        <f t="shared" si="11"/>
        <v>0</v>
      </c>
      <c r="J50" s="4">
        <f t="shared" si="11"/>
        <v>0</v>
      </c>
      <c r="K50" s="4">
        <f t="shared" si="11"/>
        <v>129674</v>
      </c>
      <c r="L50" s="4">
        <f t="shared" si="11"/>
        <v>198784</v>
      </c>
      <c r="M50" s="4">
        <f t="shared" si="11"/>
        <v>0</v>
      </c>
      <c r="N50" s="4">
        <f t="shared" si="11"/>
        <v>426696</v>
      </c>
      <c r="O50" s="4">
        <f t="shared" si="11"/>
        <v>0</v>
      </c>
      <c r="P50" s="4">
        <f t="shared" si="11"/>
        <v>0</v>
      </c>
      <c r="Q50" s="4">
        <f t="shared" si="10"/>
        <v>997161</v>
      </c>
    </row>
    <row r="51" spans="1:17" x14ac:dyDescent="0.25">
      <c r="A51" s="1" t="s">
        <v>50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3">
        <f t="shared" si="10"/>
        <v>0</v>
      </c>
    </row>
    <row r="52" spans="1:17" x14ac:dyDescent="0.25">
      <c r="A52" s="1" t="s">
        <v>51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3">
        <f t="shared" si="10"/>
        <v>0</v>
      </c>
    </row>
    <row r="53" spans="1:17" x14ac:dyDescent="0.25">
      <c r="A53" s="1" t="s">
        <v>52</v>
      </c>
      <c r="B53" s="2"/>
      <c r="C53" s="2"/>
      <c r="D53" s="2"/>
      <c r="E53" s="3">
        <f>539.76</f>
        <v>539.76</v>
      </c>
      <c r="F53" s="2"/>
      <c r="G53" s="2"/>
      <c r="H53" s="2"/>
      <c r="I53" s="2"/>
      <c r="J53" s="2"/>
      <c r="K53" s="2"/>
      <c r="L53" s="3">
        <f>125</f>
        <v>125</v>
      </c>
      <c r="M53" s="2"/>
      <c r="N53" s="2"/>
      <c r="O53" s="2"/>
      <c r="P53" s="2"/>
      <c r="Q53" s="3">
        <f t="shared" si="10"/>
        <v>664.76</v>
      </c>
    </row>
    <row r="54" spans="1:17" x14ac:dyDescent="0.25">
      <c r="A54" s="1" t="s">
        <v>53</v>
      </c>
      <c r="B54" s="2"/>
      <c r="C54" s="2"/>
      <c r="D54" s="2"/>
      <c r="E54" s="2"/>
      <c r="F54" s="2"/>
      <c r="G54" s="2"/>
      <c r="H54" s="2"/>
      <c r="I54" s="2"/>
      <c r="J54" s="3">
        <v>0</v>
      </c>
      <c r="K54" s="2"/>
      <c r="L54" s="2"/>
      <c r="M54" s="2"/>
      <c r="N54" s="2"/>
      <c r="O54" s="2"/>
      <c r="P54" s="2"/>
      <c r="Q54" s="3">
        <f t="shared" si="10"/>
        <v>0</v>
      </c>
    </row>
    <row r="55" spans="1:17" x14ac:dyDescent="0.25">
      <c r="A55" s="1" t="s">
        <v>54</v>
      </c>
      <c r="B55" s="4">
        <f t="shared" ref="B55:P55" si="12">((B52)+(B53))+(B54)</f>
        <v>0</v>
      </c>
      <c r="C55" s="4">
        <f t="shared" si="12"/>
        <v>0</v>
      </c>
      <c r="D55" s="4">
        <f t="shared" si="12"/>
        <v>0</v>
      </c>
      <c r="E55" s="4">
        <f t="shared" si="12"/>
        <v>539.76</v>
      </c>
      <c r="F55" s="4">
        <f t="shared" si="12"/>
        <v>0</v>
      </c>
      <c r="G55" s="4">
        <f t="shared" si="12"/>
        <v>0</v>
      </c>
      <c r="H55" s="4">
        <f t="shared" si="12"/>
        <v>0</v>
      </c>
      <c r="I55" s="4">
        <f t="shared" si="12"/>
        <v>0</v>
      </c>
      <c r="J55" s="4">
        <f t="shared" si="12"/>
        <v>0</v>
      </c>
      <c r="K55" s="4">
        <f t="shared" si="12"/>
        <v>0</v>
      </c>
      <c r="L55" s="4">
        <f t="shared" si="12"/>
        <v>125</v>
      </c>
      <c r="M55" s="4">
        <f t="shared" si="12"/>
        <v>0</v>
      </c>
      <c r="N55" s="4">
        <f t="shared" si="12"/>
        <v>0</v>
      </c>
      <c r="O55" s="4">
        <f t="shared" si="12"/>
        <v>0</v>
      </c>
      <c r="P55" s="4">
        <f t="shared" si="12"/>
        <v>0</v>
      </c>
      <c r="Q55" s="4">
        <f t="shared" si="10"/>
        <v>664.76</v>
      </c>
    </row>
    <row r="56" spans="1:17" x14ac:dyDescent="0.25">
      <c r="A56" s="1" t="s">
        <v>55</v>
      </c>
      <c r="B56" s="4">
        <f t="shared" ref="B56:P56" si="13">(B51)+(B55)</f>
        <v>0</v>
      </c>
      <c r="C56" s="4">
        <f t="shared" si="13"/>
        <v>0</v>
      </c>
      <c r="D56" s="4">
        <f t="shared" si="13"/>
        <v>0</v>
      </c>
      <c r="E56" s="4">
        <f t="shared" si="13"/>
        <v>539.76</v>
      </c>
      <c r="F56" s="4">
        <f t="shared" si="13"/>
        <v>0</v>
      </c>
      <c r="G56" s="4">
        <f t="shared" si="13"/>
        <v>0</v>
      </c>
      <c r="H56" s="4">
        <f t="shared" si="13"/>
        <v>0</v>
      </c>
      <c r="I56" s="4">
        <f t="shared" si="13"/>
        <v>0</v>
      </c>
      <c r="J56" s="4">
        <f t="shared" si="13"/>
        <v>0</v>
      </c>
      <c r="K56" s="4">
        <f t="shared" si="13"/>
        <v>0</v>
      </c>
      <c r="L56" s="4">
        <f t="shared" si="13"/>
        <v>125</v>
      </c>
      <c r="M56" s="4">
        <f t="shared" si="13"/>
        <v>0</v>
      </c>
      <c r="N56" s="4">
        <f t="shared" si="13"/>
        <v>0</v>
      </c>
      <c r="O56" s="4">
        <f t="shared" si="13"/>
        <v>0</v>
      </c>
      <c r="P56" s="4">
        <f t="shared" si="13"/>
        <v>0</v>
      </c>
      <c r="Q56" s="4">
        <f t="shared" si="10"/>
        <v>664.76</v>
      </c>
    </row>
    <row r="57" spans="1:17" x14ac:dyDescent="0.25">
      <c r="A57" s="1" t="s">
        <v>56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3">
        <f t="shared" si="10"/>
        <v>0</v>
      </c>
    </row>
    <row r="58" spans="1:17" x14ac:dyDescent="0.25">
      <c r="A58" s="1" t="s">
        <v>57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3">
        <v>0</v>
      </c>
      <c r="P58" s="2"/>
      <c r="Q58" s="3">
        <f t="shared" si="10"/>
        <v>0</v>
      </c>
    </row>
    <row r="59" spans="1:17" x14ac:dyDescent="0.25">
      <c r="A59" s="1" t="s">
        <v>58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3">
        <v>0</v>
      </c>
      <c r="P59" s="2"/>
      <c r="Q59" s="3">
        <f t="shared" si="10"/>
        <v>0</v>
      </c>
    </row>
    <row r="60" spans="1:17" x14ac:dyDescent="0.25">
      <c r="A60" s="1" t="s">
        <v>59</v>
      </c>
      <c r="B60" s="2"/>
      <c r="C60" s="2"/>
      <c r="D60" s="2"/>
      <c r="E60" s="2"/>
      <c r="F60" s="2"/>
      <c r="G60" s="2"/>
      <c r="H60" s="2"/>
      <c r="I60" s="2"/>
      <c r="J60" s="2"/>
      <c r="K60" s="3">
        <v>0</v>
      </c>
      <c r="L60" s="2"/>
      <c r="M60" s="2"/>
      <c r="N60" s="2"/>
      <c r="O60" s="3">
        <v>0</v>
      </c>
      <c r="P60" s="2"/>
      <c r="Q60" s="3">
        <f t="shared" si="10"/>
        <v>0</v>
      </c>
    </row>
    <row r="61" spans="1:17" x14ac:dyDescent="0.25">
      <c r="A61" s="1" t="s">
        <v>60</v>
      </c>
      <c r="B61" s="2"/>
      <c r="C61" s="2"/>
      <c r="D61" s="2"/>
      <c r="E61" s="2"/>
      <c r="F61" s="2"/>
      <c r="G61" s="2"/>
      <c r="H61" s="2"/>
      <c r="I61" s="2"/>
      <c r="J61" s="2"/>
      <c r="K61" s="3">
        <v>0</v>
      </c>
      <c r="L61" s="2"/>
      <c r="M61" s="2"/>
      <c r="N61" s="2"/>
      <c r="O61" s="3">
        <v>0</v>
      </c>
      <c r="P61" s="2"/>
      <c r="Q61" s="3">
        <f t="shared" si="10"/>
        <v>0</v>
      </c>
    </row>
    <row r="62" spans="1:17" x14ac:dyDescent="0.25">
      <c r="A62" s="1" t="s">
        <v>61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3">
        <v>0</v>
      </c>
      <c r="P62" s="2"/>
      <c r="Q62" s="3">
        <f t="shared" si="10"/>
        <v>0</v>
      </c>
    </row>
    <row r="63" spans="1:17" x14ac:dyDescent="0.25">
      <c r="A63" s="1" t="s">
        <v>62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3">
        <v>0</v>
      </c>
      <c r="P63" s="2"/>
      <c r="Q63" s="3">
        <f t="shared" si="10"/>
        <v>0</v>
      </c>
    </row>
    <row r="64" spans="1:17" x14ac:dyDescent="0.25">
      <c r="A64" s="1" t="s">
        <v>63</v>
      </c>
      <c r="B64" s="4">
        <f t="shared" ref="B64:P64" si="14">((((((B57)+(B58))+(B59))+(B60))+(B61))+(B62))+(B63)</f>
        <v>0</v>
      </c>
      <c r="C64" s="4">
        <f t="shared" si="14"/>
        <v>0</v>
      </c>
      <c r="D64" s="4">
        <f t="shared" si="14"/>
        <v>0</v>
      </c>
      <c r="E64" s="4">
        <f t="shared" si="14"/>
        <v>0</v>
      </c>
      <c r="F64" s="4">
        <f t="shared" si="14"/>
        <v>0</v>
      </c>
      <c r="G64" s="4">
        <f t="shared" si="14"/>
        <v>0</v>
      </c>
      <c r="H64" s="4">
        <f t="shared" si="14"/>
        <v>0</v>
      </c>
      <c r="I64" s="4">
        <f t="shared" si="14"/>
        <v>0</v>
      </c>
      <c r="J64" s="4">
        <f t="shared" si="14"/>
        <v>0</v>
      </c>
      <c r="K64" s="4">
        <f t="shared" si="14"/>
        <v>0</v>
      </c>
      <c r="L64" s="4">
        <f t="shared" si="14"/>
        <v>0</v>
      </c>
      <c r="M64" s="4">
        <f t="shared" si="14"/>
        <v>0</v>
      </c>
      <c r="N64" s="4">
        <f t="shared" si="14"/>
        <v>0</v>
      </c>
      <c r="O64" s="4">
        <f t="shared" si="14"/>
        <v>0</v>
      </c>
      <c r="P64" s="4">
        <f t="shared" si="14"/>
        <v>0</v>
      </c>
      <c r="Q64" s="4">
        <f t="shared" si="10"/>
        <v>0</v>
      </c>
    </row>
    <row r="65" spans="1:17" x14ac:dyDescent="0.25">
      <c r="A65" s="1" t="s">
        <v>64</v>
      </c>
      <c r="B65" s="2"/>
      <c r="C65" s="2"/>
      <c r="D65" s="2"/>
      <c r="E65" s="3">
        <f>2050</f>
        <v>2050</v>
      </c>
      <c r="F65" s="2"/>
      <c r="G65" s="2"/>
      <c r="H65" s="3">
        <v>0</v>
      </c>
      <c r="I65" s="2"/>
      <c r="J65" s="2"/>
      <c r="K65" s="3">
        <f>8050.24</f>
        <v>8050.24</v>
      </c>
      <c r="L65" s="3">
        <f>4746.25</f>
        <v>4746.25</v>
      </c>
      <c r="M65" s="2"/>
      <c r="N65" s="3">
        <f>750</f>
        <v>750</v>
      </c>
      <c r="O65" s="2"/>
      <c r="P65" s="2"/>
      <c r="Q65" s="3">
        <f t="shared" si="10"/>
        <v>15596.49</v>
      </c>
    </row>
    <row r="66" spans="1:17" x14ac:dyDescent="0.25">
      <c r="A66" s="1" t="s">
        <v>65</v>
      </c>
      <c r="B66" s="2"/>
      <c r="C66" s="3">
        <v>0</v>
      </c>
      <c r="D66" s="2"/>
      <c r="E66" s="3">
        <f>96.36</f>
        <v>96.36</v>
      </c>
      <c r="F66" s="2"/>
      <c r="G66" s="2"/>
      <c r="H66" s="2"/>
      <c r="I66" s="2"/>
      <c r="J66" s="2"/>
      <c r="K66" s="3">
        <f>96.36</f>
        <v>96.36</v>
      </c>
      <c r="L66" s="3">
        <f>96.36</f>
        <v>96.36</v>
      </c>
      <c r="M66" s="2"/>
      <c r="N66" s="3">
        <f>96.36</f>
        <v>96.36</v>
      </c>
      <c r="O66" s="2"/>
      <c r="P66" s="2"/>
      <c r="Q66" s="3">
        <f t="shared" si="10"/>
        <v>385.44</v>
      </c>
    </row>
    <row r="67" spans="1:17" x14ac:dyDescent="0.25">
      <c r="A67" s="1" t="s">
        <v>66</v>
      </c>
      <c r="B67" s="2"/>
      <c r="C67" s="2"/>
      <c r="D67" s="2"/>
      <c r="E67" s="3">
        <f>7450</f>
        <v>7450</v>
      </c>
      <c r="F67" s="2"/>
      <c r="G67" s="2"/>
      <c r="H67" s="2"/>
      <c r="I67" s="2"/>
      <c r="J67" s="2"/>
      <c r="K67" s="2"/>
      <c r="L67" s="3">
        <f>450</f>
        <v>450</v>
      </c>
      <c r="M67" s="2"/>
      <c r="N67" s="2"/>
      <c r="O67" s="2"/>
      <c r="P67" s="2"/>
      <c r="Q67" s="3">
        <f t="shared" si="10"/>
        <v>7900</v>
      </c>
    </row>
    <row r="68" spans="1:17" x14ac:dyDescent="0.25">
      <c r="A68" s="1" t="s">
        <v>67</v>
      </c>
      <c r="B68" s="4">
        <f t="shared" ref="B68:P68" si="15">((((((B41)+(B50))+(B56))+(B64))+(B65))+(B66))+(B67)</f>
        <v>0</v>
      </c>
      <c r="C68" s="4">
        <f t="shared" si="15"/>
        <v>0</v>
      </c>
      <c r="D68" s="4">
        <f t="shared" si="15"/>
        <v>0</v>
      </c>
      <c r="E68" s="4">
        <f t="shared" si="15"/>
        <v>252143.12</v>
      </c>
      <c r="F68" s="4">
        <f t="shared" si="15"/>
        <v>0</v>
      </c>
      <c r="G68" s="4">
        <f t="shared" si="15"/>
        <v>0</v>
      </c>
      <c r="H68" s="4">
        <f t="shared" si="15"/>
        <v>0</v>
      </c>
      <c r="I68" s="4">
        <f t="shared" si="15"/>
        <v>0</v>
      </c>
      <c r="J68" s="4">
        <f t="shared" si="15"/>
        <v>0</v>
      </c>
      <c r="K68" s="4">
        <f t="shared" si="15"/>
        <v>137820.59999999998</v>
      </c>
      <c r="L68" s="4">
        <f t="shared" si="15"/>
        <v>204201.61</v>
      </c>
      <c r="M68" s="4">
        <f t="shared" si="15"/>
        <v>0</v>
      </c>
      <c r="N68" s="4">
        <f t="shared" si="15"/>
        <v>427542.36</v>
      </c>
      <c r="O68" s="4">
        <f t="shared" si="15"/>
        <v>0</v>
      </c>
      <c r="P68" s="4">
        <f t="shared" si="15"/>
        <v>0</v>
      </c>
      <c r="Q68" s="4">
        <f t="shared" si="10"/>
        <v>1021707.69</v>
      </c>
    </row>
    <row r="69" spans="1:17" x14ac:dyDescent="0.25">
      <c r="A69" s="1" t="s">
        <v>68</v>
      </c>
      <c r="B69" s="4">
        <f t="shared" ref="B69:P69" si="16">B68</f>
        <v>0</v>
      </c>
      <c r="C69" s="4">
        <f t="shared" si="16"/>
        <v>0</v>
      </c>
      <c r="D69" s="4">
        <f t="shared" si="16"/>
        <v>0</v>
      </c>
      <c r="E69" s="4">
        <f t="shared" si="16"/>
        <v>252143.12</v>
      </c>
      <c r="F69" s="4">
        <f t="shared" si="16"/>
        <v>0</v>
      </c>
      <c r="G69" s="4">
        <f t="shared" si="16"/>
        <v>0</v>
      </c>
      <c r="H69" s="4">
        <f t="shared" si="16"/>
        <v>0</v>
      </c>
      <c r="I69" s="4">
        <f t="shared" si="16"/>
        <v>0</v>
      </c>
      <c r="J69" s="4">
        <f t="shared" si="16"/>
        <v>0</v>
      </c>
      <c r="K69" s="4">
        <f t="shared" si="16"/>
        <v>137820.59999999998</v>
      </c>
      <c r="L69" s="4">
        <f t="shared" si="16"/>
        <v>204201.61</v>
      </c>
      <c r="M69" s="4">
        <f t="shared" si="16"/>
        <v>0</v>
      </c>
      <c r="N69" s="4">
        <f t="shared" si="16"/>
        <v>427542.36</v>
      </c>
      <c r="O69" s="4">
        <f t="shared" si="16"/>
        <v>0</v>
      </c>
      <c r="P69" s="4">
        <f t="shared" si="16"/>
        <v>0</v>
      </c>
      <c r="Q69" s="4">
        <f t="shared" si="10"/>
        <v>1021707.69</v>
      </c>
    </row>
    <row r="70" spans="1:17" x14ac:dyDescent="0.25">
      <c r="A70" s="1" t="s">
        <v>69</v>
      </c>
      <c r="B70" s="4">
        <f t="shared" ref="B70:P70" si="17">(B39)-(B69)</f>
        <v>0</v>
      </c>
      <c r="C70" s="4">
        <f t="shared" si="17"/>
        <v>0</v>
      </c>
      <c r="D70" s="4">
        <f t="shared" si="17"/>
        <v>0</v>
      </c>
      <c r="E70" s="4">
        <f t="shared" si="17"/>
        <v>6507.8800000000047</v>
      </c>
      <c r="F70" s="4">
        <f t="shared" si="17"/>
        <v>0</v>
      </c>
      <c r="G70" s="4">
        <f t="shared" si="17"/>
        <v>0</v>
      </c>
      <c r="H70" s="4">
        <f t="shared" si="17"/>
        <v>0</v>
      </c>
      <c r="I70" s="4">
        <f t="shared" si="17"/>
        <v>0</v>
      </c>
      <c r="J70" s="4">
        <f t="shared" si="17"/>
        <v>0</v>
      </c>
      <c r="K70" s="4">
        <f t="shared" si="17"/>
        <v>14762.800000000017</v>
      </c>
      <c r="L70" s="4">
        <f t="shared" si="17"/>
        <v>53461.290000000008</v>
      </c>
      <c r="M70" s="4">
        <f t="shared" si="17"/>
        <v>0</v>
      </c>
      <c r="N70" s="4">
        <f t="shared" si="17"/>
        <v>37649.290000000037</v>
      </c>
      <c r="O70" s="4">
        <f t="shared" si="17"/>
        <v>0</v>
      </c>
      <c r="P70" s="4">
        <f t="shared" si="17"/>
        <v>0</v>
      </c>
      <c r="Q70" s="4">
        <f t="shared" si="10"/>
        <v>112381.26000000007</v>
      </c>
    </row>
    <row r="71" spans="1:17" x14ac:dyDescent="0.25">
      <c r="A71" s="1" t="s">
        <v>70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x14ac:dyDescent="0.25">
      <c r="A72" s="1" t="s">
        <v>71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3">
        <f>231</f>
        <v>231</v>
      </c>
      <c r="M72" s="2"/>
      <c r="N72" s="3">
        <f>4074</f>
        <v>4074</v>
      </c>
      <c r="O72" s="2"/>
      <c r="P72" s="2"/>
      <c r="Q72" s="3">
        <f t="shared" ref="Q72:Q101" si="18">((((((((((((((B72)+(C72))+(D72))+(E72))+(F72))+(G72))+(H72))+(I72))+(J72))+(K72))+(L72))+(M72))+(N72))+(O72))+(P72)</f>
        <v>4305</v>
      </c>
    </row>
    <row r="73" spans="1:17" x14ac:dyDescent="0.25">
      <c r="A73" s="1" t="s">
        <v>72</v>
      </c>
      <c r="B73" s="2"/>
      <c r="C73" s="2"/>
      <c r="D73" s="2"/>
      <c r="E73" s="3">
        <f>4000</f>
        <v>4000</v>
      </c>
      <c r="F73" s="2"/>
      <c r="G73" s="2"/>
      <c r="H73" s="3">
        <f>1000</f>
        <v>1000</v>
      </c>
      <c r="I73" s="2"/>
      <c r="J73" s="2"/>
      <c r="K73" s="3">
        <f>1000</f>
        <v>1000</v>
      </c>
      <c r="L73" s="3">
        <f>1000</f>
        <v>1000</v>
      </c>
      <c r="M73" s="2"/>
      <c r="N73" s="3">
        <f>1000</f>
        <v>1000</v>
      </c>
      <c r="O73" s="2"/>
      <c r="P73" s="2"/>
      <c r="Q73" s="3">
        <f t="shared" si="18"/>
        <v>8000</v>
      </c>
    </row>
    <row r="74" spans="1:17" x14ac:dyDescent="0.25">
      <c r="A74" s="1" t="s">
        <v>73</v>
      </c>
      <c r="B74" s="2"/>
      <c r="C74" s="2"/>
      <c r="D74" s="2"/>
      <c r="E74" s="3">
        <f>60</f>
        <v>60</v>
      </c>
      <c r="F74" s="2"/>
      <c r="G74" s="2"/>
      <c r="H74" s="3">
        <f>20</f>
        <v>20</v>
      </c>
      <c r="I74" s="2"/>
      <c r="J74" s="2"/>
      <c r="K74" s="3">
        <f>20</f>
        <v>20</v>
      </c>
      <c r="L74" s="3">
        <f>421.44</f>
        <v>421.44</v>
      </c>
      <c r="M74" s="2"/>
      <c r="N74" s="2"/>
      <c r="O74" s="2"/>
      <c r="P74" s="2"/>
      <c r="Q74" s="3">
        <f t="shared" si="18"/>
        <v>521.44000000000005</v>
      </c>
    </row>
    <row r="75" spans="1:17" x14ac:dyDescent="0.25">
      <c r="A75" s="1" t="s">
        <v>74</v>
      </c>
      <c r="B75" s="2"/>
      <c r="C75" s="2"/>
      <c r="D75" s="2"/>
      <c r="E75" s="3">
        <f>1650</f>
        <v>1650</v>
      </c>
      <c r="F75" s="2"/>
      <c r="G75" s="2"/>
      <c r="H75" s="2"/>
      <c r="I75" s="2"/>
      <c r="J75" s="2"/>
      <c r="K75" s="3">
        <f>546.89</f>
        <v>546.89</v>
      </c>
      <c r="L75" s="3">
        <f>251.6</f>
        <v>251.6</v>
      </c>
      <c r="M75" s="2"/>
      <c r="N75" s="3">
        <f>74.98</f>
        <v>74.98</v>
      </c>
      <c r="O75" s="2"/>
      <c r="P75" s="2"/>
      <c r="Q75" s="3">
        <f t="shared" si="18"/>
        <v>2523.4699999999998</v>
      </c>
    </row>
    <row r="76" spans="1:17" x14ac:dyDescent="0.25">
      <c r="A76" s="1" t="s">
        <v>75</v>
      </c>
      <c r="B76" s="2"/>
      <c r="C76" s="2"/>
      <c r="D76" s="2"/>
      <c r="E76" s="3">
        <f>6161.25</f>
        <v>6161.25</v>
      </c>
      <c r="F76" s="2"/>
      <c r="G76" s="2"/>
      <c r="H76" s="3">
        <f>4816.35</f>
        <v>4816.3500000000004</v>
      </c>
      <c r="I76" s="2"/>
      <c r="J76" s="2"/>
      <c r="K76" s="3">
        <f>6449.25</f>
        <v>6449.25</v>
      </c>
      <c r="L76" s="3">
        <f>6287.25</f>
        <v>6287.25</v>
      </c>
      <c r="M76" s="2"/>
      <c r="N76" s="3">
        <f>6305.25</f>
        <v>6305.25</v>
      </c>
      <c r="O76" s="2"/>
      <c r="P76" s="2"/>
      <c r="Q76" s="3">
        <f t="shared" si="18"/>
        <v>30019.35</v>
      </c>
    </row>
    <row r="77" spans="1:17" x14ac:dyDescent="0.25">
      <c r="A77" s="1" t="s">
        <v>76</v>
      </c>
      <c r="B77" s="2"/>
      <c r="C77" s="2"/>
      <c r="D77" s="2"/>
      <c r="E77" s="3">
        <f>471.34</f>
        <v>471.34</v>
      </c>
      <c r="F77" s="2"/>
      <c r="G77" s="2"/>
      <c r="H77" s="2"/>
      <c r="I77" s="2"/>
      <c r="J77" s="2"/>
      <c r="K77" s="3">
        <f>493.37</f>
        <v>493.37</v>
      </c>
      <c r="L77" s="3">
        <f>480.98</f>
        <v>480.98</v>
      </c>
      <c r="M77" s="2"/>
      <c r="N77" s="3">
        <f>482.34</f>
        <v>482.34</v>
      </c>
      <c r="O77" s="2"/>
      <c r="P77" s="2"/>
      <c r="Q77" s="3">
        <f t="shared" si="18"/>
        <v>1928.03</v>
      </c>
    </row>
    <row r="78" spans="1:17" x14ac:dyDescent="0.25">
      <c r="A78" s="1" t="s">
        <v>77</v>
      </c>
      <c r="B78" s="2"/>
      <c r="C78" s="2"/>
      <c r="D78" s="2"/>
      <c r="E78" s="2">
        <v>2437</v>
      </c>
      <c r="F78" s="2"/>
      <c r="G78" s="3">
        <v>0</v>
      </c>
      <c r="H78" s="3">
        <v>0</v>
      </c>
      <c r="I78" s="3">
        <v>0</v>
      </c>
      <c r="J78" s="2"/>
      <c r="K78" s="2">
        <v>2437</v>
      </c>
      <c r="L78" s="3">
        <f>6037</f>
        <v>6037</v>
      </c>
      <c r="M78" s="2"/>
      <c r="N78" s="2">
        <v>2437</v>
      </c>
      <c r="O78" s="2"/>
      <c r="P78" s="2"/>
      <c r="Q78" s="3">
        <f t="shared" si="18"/>
        <v>13348</v>
      </c>
    </row>
    <row r="79" spans="1:17" x14ac:dyDescent="0.25">
      <c r="A79" s="1" t="s">
        <v>78</v>
      </c>
      <c r="B79" s="2"/>
      <c r="C79" s="2"/>
      <c r="D79" s="3">
        <v>0</v>
      </c>
      <c r="E79" s="3">
        <f>27</f>
        <v>27</v>
      </c>
      <c r="F79" s="2"/>
      <c r="G79" s="2"/>
      <c r="H79" s="2"/>
      <c r="I79" s="2"/>
      <c r="J79" s="2"/>
      <c r="K79" s="3">
        <f>27</f>
        <v>27</v>
      </c>
      <c r="L79" s="3">
        <f>59</f>
        <v>59</v>
      </c>
      <c r="M79" s="2"/>
      <c r="N79" s="3">
        <f>28.13</f>
        <v>28.13</v>
      </c>
      <c r="O79" s="2"/>
      <c r="P79" s="2"/>
      <c r="Q79" s="3">
        <f t="shared" si="18"/>
        <v>141.13</v>
      </c>
    </row>
    <row r="80" spans="1:17" x14ac:dyDescent="0.25">
      <c r="A80" s="1" t="s">
        <v>79</v>
      </c>
      <c r="B80" s="2"/>
      <c r="C80" s="2"/>
      <c r="D80" s="3">
        <v>0</v>
      </c>
      <c r="E80" s="3">
        <f>171.15</f>
        <v>171.15</v>
      </c>
      <c r="F80" s="2"/>
      <c r="G80" s="2"/>
      <c r="H80" s="3">
        <f>122.43</f>
        <v>122.43</v>
      </c>
      <c r="I80" s="3">
        <v>0</v>
      </c>
      <c r="J80" s="2"/>
      <c r="K80" s="3">
        <f>1043.51</f>
        <v>1043.51</v>
      </c>
      <c r="L80" s="3">
        <f>18.83</f>
        <v>18.829999999999998</v>
      </c>
      <c r="M80" s="2"/>
      <c r="N80" s="3">
        <f>119.6</f>
        <v>119.6</v>
      </c>
      <c r="O80" s="2"/>
      <c r="P80" s="2"/>
      <c r="Q80" s="3">
        <f t="shared" si="18"/>
        <v>1475.52</v>
      </c>
    </row>
    <row r="81" spans="1:17" x14ac:dyDescent="0.25">
      <c r="A81" s="1" t="s">
        <v>80</v>
      </c>
      <c r="B81" s="2"/>
      <c r="C81" s="2"/>
      <c r="D81" s="3">
        <v>0</v>
      </c>
      <c r="E81" s="3">
        <f>27.95</f>
        <v>27.95</v>
      </c>
      <c r="F81" s="2"/>
      <c r="G81" s="2"/>
      <c r="H81" s="2"/>
      <c r="I81" s="2"/>
      <c r="J81" s="2"/>
      <c r="K81" s="3">
        <f>27.95</f>
        <v>27.95</v>
      </c>
      <c r="L81" s="3">
        <f>27.95</f>
        <v>27.95</v>
      </c>
      <c r="M81" s="3">
        <v>0</v>
      </c>
      <c r="N81" s="3">
        <v>27.95</v>
      </c>
      <c r="O81" s="2"/>
      <c r="P81" s="2"/>
      <c r="Q81" s="3">
        <f t="shared" si="18"/>
        <v>111.8</v>
      </c>
    </row>
    <row r="82" spans="1:17" x14ac:dyDescent="0.25">
      <c r="A82" s="1" t="s">
        <v>81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3">
        <f t="shared" si="18"/>
        <v>0</v>
      </c>
    </row>
    <row r="83" spans="1:17" x14ac:dyDescent="0.25">
      <c r="A83" s="1" t="s">
        <v>82</v>
      </c>
      <c r="B83" s="2"/>
      <c r="C83" s="2"/>
      <c r="D83" s="2"/>
      <c r="E83" s="2"/>
      <c r="F83" s="2"/>
      <c r="G83" s="2"/>
      <c r="H83" s="2"/>
      <c r="I83" s="2"/>
      <c r="J83" s="2"/>
      <c r="K83" s="3">
        <f>239.25</f>
        <v>239.25</v>
      </c>
      <c r="L83" s="2"/>
      <c r="M83" s="2"/>
      <c r="N83" s="2"/>
      <c r="O83" s="2"/>
      <c r="P83" s="2"/>
      <c r="Q83" s="3">
        <f t="shared" si="18"/>
        <v>239.25</v>
      </c>
    </row>
    <row r="84" spans="1:17" x14ac:dyDescent="0.25">
      <c r="A84" s="1" t="s">
        <v>83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3">
        <f>279.5</f>
        <v>279.5</v>
      </c>
      <c r="M84" s="2"/>
      <c r="N84" s="2"/>
      <c r="O84" s="2"/>
      <c r="P84" s="2"/>
      <c r="Q84" s="3">
        <f t="shared" si="18"/>
        <v>279.5</v>
      </c>
    </row>
    <row r="85" spans="1:17" x14ac:dyDescent="0.25">
      <c r="A85" s="1" t="s">
        <v>84</v>
      </c>
      <c r="B85" s="3">
        <v>0</v>
      </c>
      <c r="C85" s="2"/>
      <c r="D85" s="2"/>
      <c r="E85" s="2"/>
      <c r="F85" s="2"/>
      <c r="G85" s="2"/>
      <c r="H85" s="2"/>
      <c r="I85" s="2"/>
      <c r="J85" s="2"/>
      <c r="K85" s="2"/>
      <c r="L85" s="3">
        <f>156.86</f>
        <v>156.86000000000001</v>
      </c>
      <c r="M85" s="2"/>
      <c r="N85" s="2"/>
      <c r="O85" s="2"/>
      <c r="P85" s="2"/>
      <c r="Q85" s="3">
        <f t="shared" si="18"/>
        <v>156.86000000000001</v>
      </c>
    </row>
    <row r="86" spans="1:17" x14ac:dyDescent="0.25">
      <c r="A86" s="1" t="s">
        <v>85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3">
        <f>3556.52</f>
        <v>3556.52</v>
      </c>
      <c r="M86" s="2"/>
      <c r="N86" s="2"/>
      <c r="O86" s="2"/>
      <c r="P86" s="2"/>
      <c r="Q86" s="3">
        <f t="shared" si="18"/>
        <v>3556.52</v>
      </c>
    </row>
    <row r="87" spans="1:17" x14ac:dyDescent="0.25">
      <c r="A87" s="1" t="s">
        <v>86</v>
      </c>
      <c r="B87" s="4">
        <f t="shared" ref="B87:P87" si="19">((((B82)+(B83))+(B84))+(B85))+(B86)</f>
        <v>0</v>
      </c>
      <c r="C87" s="4">
        <f t="shared" si="19"/>
        <v>0</v>
      </c>
      <c r="D87" s="4">
        <f t="shared" si="19"/>
        <v>0</v>
      </c>
      <c r="E87" s="4">
        <f t="shared" si="19"/>
        <v>0</v>
      </c>
      <c r="F87" s="4">
        <f t="shared" si="19"/>
        <v>0</v>
      </c>
      <c r="G87" s="4">
        <f t="shared" si="19"/>
        <v>0</v>
      </c>
      <c r="H87" s="4">
        <f t="shared" si="19"/>
        <v>0</v>
      </c>
      <c r="I87" s="4">
        <f t="shared" si="19"/>
        <v>0</v>
      </c>
      <c r="J87" s="4">
        <f t="shared" si="19"/>
        <v>0</v>
      </c>
      <c r="K87" s="4">
        <f t="shared" si="19"/>
        <v>239.25</v>
      </c>
      <c r="L87" s="4">
        <f t="shared" si="19"/>
        <v>3992.88</v>
      </c>
      <c r="M87" s="4">
        <f t="shared" si="19"/>
        <v>0</v>
      </c>
      <c r="N87" s="4">
        <f t="shared" si="19"/>
        <v>0</v>
      </c>
      <c r="O87" s="4">
        <f t="shared" si="19"/>
        <v>0</v>
      </c>
      <c r="P87" s="4">
        <f t="shared" si="19"/>
        <v>0</v>
      </c>
      <c r="Q87" s="4">
        <f t="shared" si="18"/>
        <v>4232.13</v>
      </c>
    </row>
    <row r="88" spans="1:17" x14ac:dyDescent="0.25">
      <c r="A88" s="1" t="s">
        <v>87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3">
        <f t="shared" si="18"/>
        <v>0</v>
      </c>
    </row>
    <row r="89" spans="1:17" x14ac:dyDescent="0.25">
      <c r="A89" s="1" t="s">
        <v>88</v>
      </c>
      <c r="B89" s="2"/>
      <c r="C89" s="2"/>
      <c r="D89" s="2"/>
      <c r="E89" s="2"/>
      <c r="F89" s="2"/>
      <c r="G89" s="3">
        <v>0</v>
      </c>
      <c r="H89" s="2"/>
      <c r="I89" s="2"/>
      <c r="J89" s="2"/>
      <c r="K89" s="2"/>
      <c r="L89" s="2"/>
      <c r="M89" s="2"/>
      <c r="N89" s="2"/>
      <c r="O89" s="2"/>
      <c r="P89" s="2"/>
      <c r="Q89" s="3">
        <f t="shared" si="18"/>
        <v>0</v>
      </c>
    </row>
    <row r="90" spans="1:17" x14ac:dyDescent="0.25">
      <c r="A90" s="1" t="s">
        <v>89</v>
      </c>
      <c r="B90" s="3">
        <v>0</v>
      </c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3">
        <f t="shared" si="18"/>
        <v>0</v>
      </c>
    </row>
    <row r="91" spans="1:17" x14ac:dyDescent="0.25">
      <c r="A91" s="1" t="s">
        <v>90</v>
      </c>
      <c r="B91" s="4">
        <f t="shared" ref="B91:P91" si="20">((B88)+(B89))+(B90)</f>
        <v>0</v>
      </c>
      <c r="C91" s="4">
        <f t="shared" si="20"/>
        <v>0</v>
      </c>
      <c r="D91" s="4">
        <f t="shared" si="20"/>
        <v>0</v>
      </c>
      <c r="E91" s="4">
        <f t="shared" si="20"/>
        <v>0</v>
      </c>
      <c r="F91" s="4">
        <f t="shared" si="20"/>
        <v>0</v>
      </c>
      <c r="G91" s="4">
        <f t="shared" si="20"/>
        <v>0</v>
      </c>
      <c r="H91" s="4">
        <f t="shared" si="20"/>
        <v>0</v>
      </c>
      <c r="I91" s="4">
        <f t="shared" si="20"/>
        <v>0</v>
      </c>
      <c r="J91" s="4">
        <f t="shared" si="20"/>
        <v>0</v>
      </c>
      <c r="K91" s="4">
        <f t="shared" si="20"/>
        <v>0</v>
      </c>
      <c r="L91" s="4">
        <f t="shared" si="20"/>
        <v>0</v>
      </c>
      <c r="M91" s="4">
        <f t="shared" si="20"/>
        <v>0</v>
      </c>
      <c r="N91" s="4">
        <f t="shared" si="20"/>
        <v>0</v>
      </c>
      <c r="O91" s="4">
        <f t="shared" si="20"/>
        <v>0</v>
      </c>
      <c r="P91" s="4">
        <f t="shared" si="20"/>
        <v>0</v>
      </c>
      <c r="Q91" s="4">
        <f t="shared" si="18"/>
        <v>0</v>
      </c>
    </row>
    <row r="92" spans="1:17" x14ac:dyDescent="0.25">
      <c r="A92" s="1" t="s">
        <v>91</v>
      </c>
      <c r="B92" s="4">
        <f t="shared" ref="B92:P92" si="21">(((((((((((B72)+(B73))+(B74))+(B75))+(B76))+(B77))+(B78))+(B79))+(B80))+(B81))+(B87))+(B91)</f>
        <v>0</v>
      </c>
      <c r="C92" s="4">
        <f t="shared" si="21"/>
        <v>0</v>
      </c>
      <c r="D92" s="4">
        <f t="shared" si="21"/>
        <v>0</v>
      </c>
      <c r="E92" s="4">
        <f t="shared" si="21"/>
        <v>15005.69</v>
      </c>
      <c r="F92" s="4">
        <f t="shared" si="21"/>
        <v>0</v>
      </c>
      <c r="G92" s="4">
        <f t="shared" si="21"/>
        <v>0</v>
      </c>
      <c r="H92" s="4">
        <f t="shared" si="21"/>
        <v>5958.7800000000007</v>
      </c>
      <c r="I92" s="4">
        <f t="shared" si="21"/>
        <v>0</v>
      </c>
      <c r="J92" s="4">
        <f t="shared" si="21"/>
        <v>0</v>
      </c>
      <c r="K92" s="4">
        <f t="shared" si="21"/>
        <v>12284.220000000001</v>
      </c>
      <c r="L92" s="4">
        <f t="shared" si="21"/>
        <v>18807.93</v>
      </c>
      <c r="M92" s="4">
        <f t="shared" si="21"/>
        <v>0</v>
      </c>
      <c r="N92" s="4">
        <f t="shared" si="21"/>
        <v>14549.25</v>
      </c>
      <c r="O92" s="4">
        <f t="shared" si="21"/>
        <v>0</v>
      </c>
      <c r="P92" s="4">
        <f t="shared" si="21"/>
        <v>0</v>
      </c>
      <c r="Q92" s="4">
        <f t="shared" si="18"/>
        <v>66605.87</v>
      </c>
    </row>
    <row r="93" spans="1:17" x14ac:dyDescent="0.25">
      <c r="A93" s="1" t="s">
        <v>92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3">
        <f t="shared" si="18"/>
        <v>0</v>
      </c>
    </row>
    <row r="94" spans="1:17" x14ac:dyDescent="0.25">
      <c r="A94" s="1" t="s">
        <v>93</v>
      </c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>
        <f>6408.38</f>
        <v>6408.38</v>
      </c>
      <c r="O94" s="2"/>
      <c r="P94" s="2"/>
      <c r="Q94" s="3">
        <f t="shared" si="18"/>
        <v>6408.38</v>
      </c>
    </row>
    <row r="95" spans="1:17" x14ac:dyDescent="0.25">
      <c r="A95" s="1" t="s">
        <v>94</v>
      </c>
      <c r="B95" s="4">
        <f t="shared" ref="B95:P95" si="22">(B93)+(B94)</f>
        <v>0</v>
      </c>
      <c r="C95" s="4">
        <f t="shared" si="22"/>
        <v>0</v>
      </c>
      <c r="D95" s="4">
        <f t="shared" si="22"/>
        <v>0</v>
      </c>
      <c r="E95" s="4">
        <f t="shared" si="22"/>
        <v>0</v>
      </c>
      <c r="F95" s="4">
        <f t="shared" si="22"/>
        <v>0</v>
      </c>
      <c r="G95" s="4">
        <f t="shared" si="22"/>
        <v>0</v>
      </c>
      <c r="H95" s="4">
        <f t="shared" si="22"/>
        <v>0</v>
      </c>
      <c r="I95" s="4">
        <f t="shared" si="22"/>
        <v>0</v>
      </c>
      <c r="J95" s="4">
        <f t="shared" si="22"/>
        <v>0</v>
      </c>
      <c r="K95" s="4">
        <f t="shared" si="22"/>
        <v>0</v>
      </c>
      <c r="L95" s="4">
        <f t="shared" si="22"/>
        <v>0</v>
      </c>
      <c r="M95" s="4">
        <f t="shared" si="22"/>
        <v>0</v>
      </c>
      <c r="N95" s="4">
        <f t="shared" si="22"/>
        <v>6408.38</v>
      </c>
      <c r="O95" s="4">
        <f t="shared" si="22"/>
        <v>0</v>
      </c>
      <c r="P95" s="4">
        <f t="shared" si="22"/>
        <v>0</v>
      </c>
      <c r="Q95" s="4">
        <f t="shared" si="18"/>
        <v>6408.38</v>
      </c>
    </row>
    <row r="96" spans="1:17" x14ac:dyDescent="0.25">
      <c r="A96" s="1" t="s">
        <v>95</v>
      </c>
      <c r="B96" s="2"/>
      <c r="C96" s="2"/>
      <c r="D96" s="2"/>
      <c r="E96" s="2">
        <v>45.02</v>
      </c>
      <c r="F96" s="2"/>
      <c r="G96" s="2"/>
      <c r="H96" s="2"/>
      <c r="I96" s="2"/>
      <c r="J96" s="2"/>
      <c r="K96" s="2">
        <v>45.02</v>
      </c>
      <c r="L96" s="2">
        <v>45.02</v>
      </c>
      <c r="M96" s="3">
        <v>0</v>
      </c>
      <c r="N96" s="2">
        <v>45.02</v>
      </c>
      <c r="O96" s="2"/>
      <c r="P96" s="2"/>
      <c r="Q96" s="3">
        <f t="shared" si="18"/>
        <v>180.08</v>
      </c>
    </row>
    <row r="97" spans="1:17" x14ac:dyDescent="0.25">
      <c r="A97" s="1" t="s">
        <v>96</v>
      </c>
      <c r="B97" s="2"/>
      <c r="C97" s="2"/>
      <c r="D97" s="2"/>
      <c r="E97" s="2"/>
      <c r="F97" s="2"/>
      <c r="G97" s="2"/>
      <c r="H97" s="2"/>
      <c r="I97" s="2"/>
      <c r="J97" s="2"/>
      <c r="K97" s="3">
        <f>100</f>
        <v>100</v>
      </c>
      <c r="L97" s="3">
        <f>200</f>
        <v>200</v>
      </c>
      <c r="M97" s="2"/>
      <c r="N97" s="3">
        <f>40</f>
        <v>40</v>
      </c>
      <c r="O97" s="2"/>
      <c r="P97" s="2"/>
      <c r="Q97" s="3">
        <f t="shared" si="18"/>
        <v>340</v>
      </c>
    </row>
    <row r="98" spans="1:17" x14ac:dyDescent="0.25">
      <c r="A98" s="1" t="s">
        <v>97</v>
      </c>
      <c r="B98" s="2"/>
      <c r="C98" s="2"/>
      <c r="D98" s="2"/>
      <c r="E98" s="3">
        <f>0</f>
        <v>0</v>
      </c>
      <c r="F98" s="2"/>
      <c r="G98" s="2"/>
      <c r="H98" s="2"/>
      <c r="I98" s="2"/>
      <c r="J98" s="2"/>
      <c r="K98" s="2"/>
      <c r="L98" s="2"/>
      <c r="M98" s="2"/>
      <c r="N98" s="2"/>
      <c r="O98" s="2"/>
      <c r="P98" s="3">
        <v>0</v>
      </c>
      <c r="Q98" s="3">
        <f t="shared" si="18"/>
        <v>0</v>
      </c>
    </row>
    <row r="99" spans="1:17" x14ac:dyDescent="0.25">
      <c r="A99" s="1" t="s">
        <v>98</v>
      </c>
      <c r="B99" s="4">
        <f t="shared" ref="B99:P99" si="23">((((B92)+(B95))+(B96))+(B97))+(B98)</f>
        <v>0</v>
      </c>
      <c r="C99" s="4">
        <f t="shared" si="23"/>
        <v>0</v>
      </c>
      <c r="D99" s="4">
        <f t="shared" si="23"/>
        <v>0</v>
      </c>
      <c r="E99" s="4">
        <f t="shared" si="23"/>
        <v>15050.710000000001</v>
      </c>
      <c r="F99" s="4">
        <f t="shared" si="23"/>
        <v>0</v>
      </c>
      <c r="G99" s="4">
        <f t="shared" si="23"/>
        <v>0</v>
      </c>
      <c r="H99" s="4">
        <f t="shared" si="23"/>
        <v>5958.7800000000007</v>
      </c>
      <c r="I99" s="4">
        <f t="shared" si="23"/>
        <v>0</v>
      </c>
      <c r="J99" s="4">
        <f t="shared" si="23"/>
        <v>0</v>
      </c>
      <c r="K99" s="4">
        <f t="shared" si="23"/>
        <v>12429.240000000002</v>
      </c>
      <c r="L99" s="4">
        <f t="shared" si="23"/>
        <v>19052.95</v>
      </c>
      <c r="M99" s="4">
        <f t="shared" si="23"/>
        <v>0</v>
      </c>
      <c r="N99" s="4">
        <f t="shared" si="23"/>
        <v>21042.65</v>
      </c>
      <c r="O99" s="4">
        <f t="shared" si="23"/>
        <v>0</v>
      </c>
      <c r="P99" s="4">
        <f t="shared" si="23"/>
        <v>0</v>
      </c>
      <c r="Q99" s="4">
        <f t="shared" si="18"/>
        <v>73534.330000000016</v>
      </c>
    </row>
    <row r="100" spans="1:17" x14ac:dyDescent="0.25">
      <c r="A100" s="1" t="s">
        <v>99</v>
      </c>
      <c r="B100" s="4">
        <f t="shared" ref="B100:P100" si="24">(B70)-(B99)</f>
        <v>0</v>
      </c>
      <c r="C100" s="4">
        <f t="shared" si="24"/>
        <v>0</v>
      </c>
      <c r="D100" s="4">
        <f t="shared" si="24"/>
        <v>0</v>
      </c>
      <c r="E100" s="4">
        <f t="shared" si="24"/>
        <v>-8542.8299999999963</v>
      </c>
      <c r="F100" s="4">
        <f t="shared" si="24"/>
        <v>0</v>
      </c>
      <c r="G100" s="4">
        <f t="shared" si="24"/>
        <v>0</v>
      </c>
      <c r="H100" s="4">
        <f t="shared" si="24"/>
        <v>-5958.7800000000007</v>
      </c>
      <c r="I100" s="4">
        <f t="shared" si="24"/>
        <v>0</v>
      </c>
      <c r="J100" s="4">
        <f t="shared" si="24"/>
        <v>0</v>
      </c>
      <c r="K100" s="4">
        <f t="shared" si="24"/>
        <v>2333.5600000000159</v>
      </c>
      <c r="L100" s="4">
        <f t="shared" si="24"/>
        <v>34408.340000000011</v>
      </c>
      <c r="M100" s="4">
        <f t="shared" si="24"/>
        <v>0</v>
      </c>
      <c r="N100" s="4">
        <f t="shared" si="24"/>
        <v>16606.640000000036</v>
      </c>
      <c r="O100" s="4">
        <f t="shared" si="24"/>
        <v>0</v>
      </c>
      <c r="P100" s="4">
        <f t="shared" si="24"/>
        <v>0</v>
      </c>
      <c r="Q100" s="4">
        <f t="shared" si="18"/>
        <v>38846.930000000066</v>
      </c>
    </row>
    <row r="101" spans="1:17" x14ac:dyDescent="0.25">
      <c r="A101" s="1" t="s">
        <v>100</v>
      </c>
      <c r="B101" s="5">
        <f t="shared" ref="B101:P101" si="25">(B100)+(0)</f>
        <v>0</v>
      </c>
      <c r="C101" s="5">
        <f t="shared" si="25"/>
        <v>0</v>
      </c>
      <c r="D101" s="5">
        <f t="shared" si="25"/>
        <v>0</v>
      </c>
      <c r="E101" s="5">
        <f t="shared" si="25"/>
        <v>-8542.8299999999963</v>
      </c>
      <c r="F101" s="5">
        <f t="shared" si="25"/>
        <v>0</v>
      </c>
      <c r="G101" s="5">
        <f t="shared" si="25"/>
        <v>0</v>
      </c>
      <c r="H101" s="5">
        <f t="shared" si="25"/>
        <v>-5958.7800000000007</v>
      </c>
      <c r="I101" s="5">
        <f t="shared" si="25"/>
        <v>0</v>
      </c>
      <c r="J101" s="5">
        <f t="shared" si="25"/>
        <v>0</v>
      </c>
      <c r="K101" s="5">
        <f t="shared" si="25"/>
        <v>2333.5600000000159</v>
      </c>
      <c r="L101" s="5">
        <f t="shared" si="25"/>
        <v>34408.340000000011</v>
      </c>
      <c r="M101" s="5">
        <f t="shared" si="25"/>
        <v>0</v>
      </c>
      <c r="N101" s="5">
        <f t="shared" si="25"/>
        <v>16606.640000000036</v>
      </c>
      <c r="O101" s="5">
        <f t="shared" si="25"/>
        <v>0</v>
      </c>
      <c r="P101" s="5">
        <f t="shared" si="25"/>
        <v>0</v>
      </c>
      <c r="Q101" s="5">
        <f t="shared" si="18"/>
        <v>38846.930000000066</v>
      </c>
    </row>
    <row r="102" spans="1:17" x14ac:dyDescent="0.25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5" spans="1:17" x14ac:dyDescent="0.25">
      <c r="A105" s="8" t="s">
        <v>101</v>
      </c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</row>
  </sheetData>
  <mergeCells count="4">
    <mergeCell ref="A105:Q105"/>
    <mergeCell ref="A1:Q1"/>
    <mergeCell ref="A2:Q2"/>
    <mergeCell ref="A3:Q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 by Class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Ron Ross</cp:lastModifiedBy>
  <cp:lastPrinted>2022-02-15T17:48:59Z</cp:lastPrinted>
  <dcterms:created xsi:type="dcterms:W3CDTF">2022-02-15T17:31:07Z</dcterms:created>
  <dcterms:modified xsi:type="dcterms:W3CDTF">2022-02-15T17:59:07Z</dcterms:modified>
</cp:coreProperties>
</file>