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270a0b4c510bde/Desktop/"/>
    </mc:Choice>
  </mc:AlternateContent>
  <xr:revisionPtr revIDLastSave="54" documentId="8_{C6EF894F-979F-424D-B9EA-503971EED6FD}" xr6:coauthVersionLast="47" xr6:coauthVersionMax="47" xr10:uidLastSave="{05F5D75A-58ED-40CD-AD3B-9D5968149F04}"/>
  <bookViews>
    <workbookView xWindow="-120" yWindow="-120" windowWidth="29040" windowHeight="15840" xr2:uid="{00000000-000D-0000-FFFF-FFFF00000000}"/>
  </bookViews>
  <sheets>
    <sheet name="Profit and Loss by Cla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6" i="1" l="1"/>
  <c r="I95" i="1"/>
  <c r="I94" i="1"/>
  <c r="I93" i="1"/>
  <c r="I92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4" i="1"/>
  <c r="I63" i="1"/>
  <c r="I62" i="1"/>
  <c r="I60" i="1"/>
  <c r="I59" i="1"/>
  <c r="I58" i="1"/>
  <c r="I57" i="1"/>
  <c r="I56" i="1"/>
  <c r="I54" i="1"/>
  <c r="I53" i="1"/>
  <c r="I52" i="1"/>
  <c r="I51" i="1"/>
  <c r="I50" i="1"/>
  <c r="I49" i="1"/>
  <c r="I48" i="1"/>
  <c r="I43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F94" i="1"/>
  <c r="F93" i="1"/>
  <c r="F90" i="1"/>
  <c r="F83" i="1"/>
  <c r="F86" i="1" s="1"/>
  <c r="F79" i="1"/>
  <c r="F78" i="1"/>
  <c r="F77" i="1"/>
  <c r="F76" i="1"/>
  <c r="F75" i="1"/>
  <c r="F74" i="1"/>
  <c r="F72" i="1"/>
  <c r="F71" i="1"/>
  <c r="F70" i="1"/>
  <c r="F62" i="1"/>
  <c r="F60" i="1"/>
  <c r="F61" i="1" s="1"/>
  <c r="F55" i="1"/>
  <c r="F40" i="1"/>
  <c r="F39" i="1"/>
  <c r="F36" i="1"/>
  <c r="F35" i="1"/>
  <c r="F37" i="1" s="1"/>
  <c r="F32" i="1"/>
  <c r="F31" i="1"/>
  <c r="F29" i="1"/>
  <c r="F24" i="1"/>
  <c r="F23" i="1"/>
  <c r="F20" i="1"/>
  <c r="F19" i="1"/>
  <c r="F16" i="1"/>
  <c r="F17" i="1" s="1"/>
  <c r="F15" i="1"/>
  <c r="F13" i="1"/>
  <c r="F11" i="1"/>
  <c r="F10" i="1"/>
  <c r="D95" i="1"/>
  <c r="D94" i="1"/>
  <c r="D93" i="1"/>
  <c r="D90" i="1"/>
  <c r="D82" i="1"/>
  <c r="D86" i="1" s="1"/>
  <c r="D79" i="1"/>
  <c r="D78" i="1"/>
  <c r="D77" i="1"/>
  <c r="D76" i="1"/>
  <c r="D75" i="1"/>
  <c r="D74" i="1"/>
  <c r="D73" i="1"/>
  <c r="D72" i="1"/>
  <c r="D71" i="1"/>
  <c r="D70" i="1"/>
  <c r="D63" i="1"/>
  <c r="D62" i="1"/>
  <c r="D60" i="1"/>
  <c r="D61" i="1" s="1"/>
  <c r="D54" i="1"/>
  <c r="D53" i="1"/>
  <c r="D52" i="1"/>
  <c r="D51" i="1"/>
  <c r="D50" i="1"/>
  <c r="D49" i="1"/>
  <c r="D48" i="1"/>
  <c r="D40" i="1"/>
  <c r="D39" i="1"/>
  <c r="D36" i="1"/>
  <c r="D37" i="1" s="1"/>
  <c r="D35" i="1"/>
  <c r="D33" i="1"/>
  <c r="D29" i="1"/>
  <c r="D24" i="1"/>
  <c r="D23" i="1"/>
  <c r="D20" i="1"/>
  <c r="D19" i="1"/>
  <c r="D21" i="1" s="1"/>
  <c r="D16" i="1"/>
  <c r="D17" i="1" s="1"/>
  <c r="D15" i="1"/>
  <c r="D13" i="1"/>
  <c r="D11" i="1"/>
  <c r="D12" i="1" s="1"/>
  <c r="D10" i="1"/>
  <c r="C95" i="1"/>
  <c r="C94" i="1"/>
  <c r="C92" i="1"/>
  <c r="C90" i="1"/>
  <c r="C85" i="1"/>
  <c r="C84" i="1"/>
  <c r="C83" i="1"/>
  <c r="C86" i="1" s="1"/>
  <c r="C79" i="1"/>
  <c r="C78" i="1"/>
  <c r="C77" i="1"/>
  <c r="C76" i="1"/>
  <c r="C75" i="1"/>
  <c r="C74" i="1"/>
  <c r="C72" i="1"/>
  <c r="C71" i="1"/>
  <c r="C70" i="1"/>
  <c r="C64" i="1"/>
  <c r="C63" i="1"/>
  <c r="C62" i="1"/>
  <c r="C58" i="1"/>
  <c r="C60" i="1" s="1"/>
  <c r="C61" i="1" s="1"/>
  <c r="C54" i="1"/>
  <c r="C53" i="1"/>
  <c r="C52" i="1"/>
  <c r="C51" i="1"/>
  <c r="C50" i="1"/>
  <c r="C49" i="1"/>
  <c r="C48" i="1"/>
  <c r="C55" i="1" s="1"/>
  <c r="C41" i="1"/>
  <c r="C40" i="1"/>
  <c r="C39" i="1"/>
  <c r="C36" i="1"/>
  <c r="C37" i="1" s="1"/>
  <c r="C35" i="1"/>
  <c r="C33" i="1"/>
  <c r="C29" i="1"/>
  <c r="C24" i="1"/>
  <c r="C23" i="1"/>
  <c r="C20" i="1"/>
  <c r="C19" i="1"/>
  <c r="C17" i="1"/>
  <c r="C16" i="1"/>
  <c r="C15" i="1"/>
  <c r="C13" i="1"/>
  <c r="C12" i="1"/>
  <c r="C11" i="1"/>
  <c r="C10" i="1"/>
  <c r="B95" i="1"/>
  <c r="B94" i="1"/>
  <c r="B92" i="1"/>
  <c r="B90" i="1"/>
  <c r="B86" i="1"/>
  <c r="B79" i="1"/>
  <c r="B78" i="1"/>
  <c r="B77" i="1"/>
  <c r="B76" i="1"/>
  <c r="B75" i="1"/>
  <c r="B74" i="1"/>
  <c r="B72" i="1"/>
  <c r="B70" i="1"/>
  <c r="B63" i="1"/>
  <c r="B62" i="1"/>
  <c r="B59" i="1"/>
  <c r="B60" i="1" s="1"/>
  <c r="B61" i="1" s="1"/>
  <c r="B54" i="1"/>
  <c r="B53" i="1"/>
  <c r="B52" i="1"/>
  <c r="B51" i="1"/>
  <c r="B50" i="1"/>
  <c r="B49" i="1"/>
  <c r="B48" i="1"/>
  <c r="B39" i="1"/>
  <c r="B36" i="1"/>
  <c r="B35" i="1"/>
  <c r="B33" i="1"/>
  <c r="B29" i="1"/>
  <c r="B24" i="1"/>
  <c r="B23" i="1"/>
  <c r="B20" i="1"/>
  <c r="B19" i="1"/>
  <c r="B16" i="1"/>
  <c r="B15" i="1"/>
  <c r="B13" i="1"/>
  <c r="B11" i="1"/>
  <c r="B10" i="1"/>
  <c r="H94" i="1"/>
  <c r="G94" i="1"/>
  <c r="E94" i="1"/>
  <c r="H93" i="1"/>
  <c r="G93" i="1"/>
  <c r="E93" i="1"/>
  <c r="E92" i="1"/>
  <c r="H90" i="1"/>
  <c r="E90" i="1"/>
  <c r="G88" i="1"/>
  <c r="G90" i="1" s="1"/>
  <c r="E86" i="1"/>
  <c r="G85" i="1"/>
  <c r="H81" i="1"/>
  <c r="H86" i="1" s="1"/>
  <c r="H79" i="1"/>
  <c r="G79" i="1"/>
  <c r="E79" i="1"/>
  <c r="H78" i="1"/>
  <c r="G78" i="1"/>
  <c r="E78" i="1"/>
  <c r="G77" i="1"/>
  <c r="E77" i="1"/>
  <c r="H76" i="1"/>
  <c r="G76" i="1"/>
  <c r="E76" i="1"/>
  <c r="G75" i="1"/>
  <c r="E75" i="1"/>
  <c r="G74" i="1"/>
  <c r="E74" i="1"/>
  <c r="E73" i="1"/>
  <c r="H72" i="1"/>
  <c r="G72" i="1"/>
  <c r="E72" i="1"/>
  <c r="E71" i="1"/>
  <c r="H70" i="1"/>
  <c r="G70" i="1"/>
  <c r="E70" i="1"/>
  <c r="E64" i="1"/>
  <c r="G63" i="1"/>
  <c r="E63" i="1"/>
  <c r="G62" i="1"/>
  <c r="E62" i="1"/>
  <c r="H60" i="1"/>
  <c r="H61" i="1" s="1"/>
  <c r="G58" i="1"/>
  <c r="G60" i="1" s="1"/>
  <c r="G61" i="1" s="1"/>
  <c r="E58" i="1"/>
  <c r="E54" i="1"/>
  <c r="H53" i="1"/>
  <c r="G53" i="1"/>
  <c r="E53" i="1"/>
  <c r="H52" i="1"/>
  <c r="G52" i="1"/>
  <c r="E52" i="1"/>
  <c r="G51" i="1"/>
  <c r="E51" i="1"/>
  <c r="E50" i="1"/>
  <c r="E49" i="1"/>
  <c r="E48" i="1"/>
  <c r="H40" i="1"/>
  <c r="G40" i="1"/>
  <c r="E40" i="1"/>
  <c r="G39" i="1"/>
  <c r="H36" i="1"/>
  <c r="G36" i="1"/>
  <c r="E36" i="1"/>
  <c r="H35" i="1"/>
  <c r="G35" i="1"/>
  <c r="E35" i="1"/>
  <c r="E37" i="1" s="1"/>
  <c r="H33" i="1"/>
  <c r="E33" i="1"/>
  <c r="G32" i="1"/>
  <c r="G31" i="1"/>
  <c r="G29" i="1"/>
  <c r="E29" i="1"/>
  <c r="H28" i="1"/>
  <c r="H27" i="1"/>
  <c r="H24" i="1"/>
  <c r="G24" i="1"/>
  <c r="E24" i="1"/>
  <c r="H23" i="1"/>
  <c r="G23" i="1"/>
  <c r="E23" i="1"/>
  <c r="H20" i="1"/>
  <c r="G20" i="1"/>
  <c r="E20" i="1"/>
  <c r="H19" i="1"/>
  <c r="G19" i="1"/>
  <c r="G21" i="1" s="1"/>
  <c r="E19" i="1"/>
  <c r="H16" i="1"/>
  <c r="G16" i="1"/>
  <c r="E16" i="1"/>
  <c r="H15" i="1"/>
  <c r="G15" i="1"/>
  <c r="E15" i="1"/>
  <c r="H13" i="1"/>
  <c r="G13" i="1"/>
  <c r="E13" i="1"/>
  <c r="H11" i="1"/>
  <c r="G11" i="1"/>
  <c r="E11" i="1"/>
  <c r="H10" i="1"/>
  <c r="G10" i="1"/>
  <c r="G12" i="1" s="1"/>
  <c r="E10" i="1"/>
  <c r="F65" i="1" l="1"/>
  <c r="F66" i="1" s="1"/>
  <c r="I61" i="1"/>
  <c r="G17" i="1"/>
  <c r="H21" i="1"/>
  <c r="B17" i="1"/>
  <c r="F12" i="1"/>
  <c r="E12" i="1"/>
  <c r="E25" i="1"/>
  <c r="B21" i="1"/>
  <c r="G37" i="1"/>
  <c r="F25" i="1"/>
  <c r="E17" i="1"/>
  <c r="E55" i="1"/>
  <c r="C21" i="1"/>
  <c r="D55" i="1"/>
  <c r="D65" i="1" s="1"/>
  <c r="D66" i="1" s="1"/>
  <c r="B25" i="1"/>
  <c r="B37" i="1"/>
  <c r="B55" i="1"/>
  <c r="C25" i="1"/>
  <c r="C38" i="1" s="1"/>
  <c r="C42" i="1" s="1"/>
  <c r="C44" i="1" s="1"/>
  <c r="C67" i="1" s="1"/>
  <c r="C91" i="1"/>
  <c r="C97" i="1" s="1"/>
  <c r="D25" i="1"/>
  <c r="D91" i="1"/>
  <c r="D97" i="1" s="1"/>
  <c r="F21" i="1"/>
  <c r="F33" i="1"/>
  <c r="F91" i="1"/>
  <c r="F97" i="1" s="1"/>
  <c r="H25" i="1"/>
  <c r="B12" i="1"/>
  <c r="B91" i="1"/>
  <c r="B97" i="1" s="1"/>
  <c r="D38" i="1"/>
  <c r="D42" i="1" s="1"/>
  <c r="D44" i="1" s="1"/>
  <c r="D67" i="1" s="1"/>
  <c r="D98" i="1" s="1"/>
  <c r="D99" i="1" s="1"/>
  <c r="C65" i="1"/>
  <c r="C66" i="1" s="1"/>
  <c r="B65" i="1"/>
  <c r="B66" i="1" s="1"/>
  <c r="G25" i="1"/>
  <c r="H37" i="1"/>
  <c r="G55" i="1"/>
  <c r="G65" i="1" s="1"/>
  <c r="G66" i="1" s="1"/>
  <c r="E21" i="1"/>
  <c r="H55" i="1"/>
  <c r="H65" i="1" s="1"/>
  <c r="H66" i="1" s="1"/>
  <c r="H91" i="1"/>
  <c r="H97" i="1" s="1"/>
  <c r="H12" i="1"/>
  <c r="H17" i="1"/>
  <c r="H29" i="1"/>
  <c r="G33" i="1"/>
  <c r="E91" i="1"/>
  <c r="E97" i="1" s="1"/>
  <c r="G86" i="1"/>
  <c r="G91" i="1" s="1"/>
  <c r="E60" i="1"/>
  <c r="E61" i="1" s="1"/>
  <c r="E65" i="1" s="1"/>
  <c r="E66" i="1" s="1"/>
  <c r="G97" i="1" l="1"/>
  <c r="I97" i="1" s="1"/>
  <c r="I91" i="1"/>
  <c r="I55" i="1"/>
  <c r="I66" i="1"/>
  <c r="I65" i="1"/>
  <c r="F38" i="1"/>
  <c r="F42" i="1" s="1"/>
  <c r="F44" i="1" s="1"/>
  <c r="F67" i="1" s="1"/>
  <c r="F98" i="1" s="1"/>
  <c r="F99" i="1" s="1"/>
  <c r="C98" i="1"/>
  <c r="C99" i="1" s="1"/>
  <c r="B38" i="1"/>
  <c r="B42" i="1" s="1"/>
  <c r="B44" i="1" s="1"/>
  <c r="B67" i="1" s="1"/>
  <c r="B98" i="1" s="1"/>
  <c r="B99" i="1" s="1"/>
  <c r="H38" i="1"/>
  <c r="E38" i="1"/>
  <c r="E42" i="1" s="1"/>
  <c r="E44" i="1" s="1"/>
  <c r="E67" i="1" s="1"/>
  <c r="E98" i="1" s="1"/>
  <c r="E99" i="1" s="1"/>
  <c r="G38" i="1"/>
  <c r="G42" i="1" s="1"/>
  <c r="G44" i="1" s="1"/>
  <c r="G67" i="1" s="1"/>
  <c r="G98" i="1" l="1"/>
  <c r="G99" i="1" s="1"/>
  <c r="H42" i="1"/>
  <c r="I38" i="1"/>
  <c r="H44" i="1" l="1"/>
  <c r="I42" i="1"/>
  <c r="H67" i="1" l="1"/>
  <c r="I44" i="1"/>
  <c r="H98" i="1" l="1"/>
  <c r="I67" i="1"/>
  <c r="H99" i="1" l="1"/>
  <c r="I99" i="1" s="1"/>
  <c r="I98" i="1"/>
</calcChain>
</file>

<file path=xl/sharedStrings.xml><?xml version="1.0" encoding="utf-8"?>
<sst xmlns="http://schemas.openxmlformats.org/spreadsheetml/2006/main" count="106" uniqueCount="106">
  <si>
    <t>December</t>
  </si>
  <si>
    <t>February</t>
  </si>
  <si>
    <t>January</t>
  </si>
  <si>
    <t>March</t>
  </si>
  <si>
    <t>November</t>
  </si>
  <si>
    <t>October</t>
  </si>
  <si>
    <t>September</t>
  </si>
  <si>
    <t>TOTAL</t>
  </si>
  <si>
    <t>Income</t>
  </si>
  <si>
    <t xml:space="preserve">   400 Income</t>
  </si>
  <si>
    <t xml:space="preserve">      410 Membership income</t>
  </si>
  <si>
    <t xml:space="preserve">         411 Athlete registration</t>
  </si>
  <si>
    <t xml:space="preserve">            411-1 Athlete Registration -So Cal Split</t>
  </si>
  <si>
    <t xml:space="preserve">            411-2 Athlete Registration - USA Split</t>
  </si>
  <si>
    <t xml:space="preserve">         Total 411 Athlete registration</t>
  </si>
  <si>
    <t xml:space="preserve">         412 Affiliation change</t>
  </si>
  <si>
    <t xml:space="preserve">         413 Non-athlete single</t>
  </si>
  <si>
    <t xml:space="preserve">            413-1 Non-Athlete- So Cal Split</t>
  </si>
  <si>
    <t xml:space="preserve">            413-2 Non-Athlete - USA Split</t>
  </si>
  <si>
    <t xml:space="preserve">         Total 413 Non-athlete single</t>
  </si>
  <si>
    <t xml:space="preserve">         414 Flex</t>
  </si>
  <si>
    <t xml:space="preserve">            414-1 Flex- So Cal Split</t>
  </si>
  <si>
    <t xml:space="preserve">            414-2 Flex - USA Split</t>
  </si>
  <si>
    <t xml:space="preserve">         Total 414 Flex</t>
  </si>
  <si>
    <t xml:space="preserve">         415 Outreach</t>
  </si>
  <si>
    <t xml:space="preserve">            415-1 Outreach - So Cal Split</t>
  </si>
  <si>
    <t xml:space="preserve">            415-2 Outreach - USA Split</t>
  </si>
  <si>
    <t xml:space="preserve">         Total 415 Outreach</t>
  </si>
  <si>
    <t xml:space="preserve">         416 Seasonal</t>
  </si>
  <si>
    <t xml:space="preserve">            416-1 Seasonal - So Cal Split</t>
  </si>
  <si>
    <t xml:space="preserve">            416-2 Seasonal - USA Split</t>
  </si>
  <si>
    <t xml:space="preserve">         Total 416 Seasonal</t>
  </si>
  <si>
    <t xml:space="preserve">         417 Non-athlete life</t>
  </si>
  <si>
    <t xml:space="preserve">            417-1 Non-Athlete LIfe - So Cal Split</t>
  </si>
  <si>
    <t xml:space="preserve">            417-2 Non-Athlete LIfe - USA Split</t>
  </si>
  <si>
    <t xml:space="preserve">         Total 417 Non-athlete life</t>
  </si>
  <si>
    <t xml:space="preserve">         418 Club membership</t>
  </si>
  <si>
    <t xml:space="preserve">            418-1 Club - So Cal Split</t>
  </si>
  <si>
    <t xml:space="preserve">            418-2 Club - USA Split</t>
  </si>
  <si>
    <t xml:space="preserve">         Total 418 Club membership</t>
  </si>
  <si>
    <t xml:space="preserve">      Total 410 Membership income</t>
  </si>
  <si>
    <t xml:space="preserve">      421 Meet income</t>
  </si>
  <si>
    <t xml:space="preserve">      422 Sanction fees</t>
  </si>
  <si>
    <t xml:space="preserve">      429 Other Meet Income</t>
  </si>
  <si>
    <t xml:space="preserve">   Total 400 Income</t>
  </si>
  <si>
    <t xml:space="preserve">   711 Desert Income</t>
  </si>
  <si>
    <t>Total Income</t>
  </si>
  <si>
    <t>Cost of Goods Sold</t>
  </si>
  <si>
    <t xml:space="preserve">   500 Direct expenses</t>
  </si>
  <si>
    <t xml:space="preserve">      510 Membership - USS</t>
  </si>
  <si>
    <t xml:space="preserve">         511 Athlete registration</t>
  </si>
  <si>
    <t xml:space="preserve">         513 Non-athlete single</t>
  </si>
  <si>
    <t xml:space="preserve">         514 Flex</t>
  </si>
  <si>
    <t xml:space="preserve">         515 Outreach</t>
  </si>
  <si>
    <t xml:space="preserve">         516 Seasonal</t>
  </si>
  <si>
    <t xml:space="preserve">         517 Non-athlete life</t>
  </si>
  <si>
    <t xml:space="preserve">         519 Other</t>
  </si>
  <si>
    <t xml:space="preserve">      Total 510 Membership - USS</t>
  </si>
  <si>
    <t xml:space="preserve">      530 Other meet expenses</t>
  </si>
  <si>
    <t xml:space="preserve">         556 Zone Meet Copayment</t>
  </si>
  <si>
    <t xml:space="preserve">            523 Officials</t>
  </si>
  <si>
    <t xml:space="preserve">            528 Meet settlement</t>
  </si>
  <si>
    <t xml:space="preserve">         Total 556 Zone Meet Copayment</t>
  </si>
  <si>
    <t xml:space="preserve">      Total 530 Other meet expenses</t>
  </si>
  <si>
    <t xml:space="preserve">      601 Legal and accounting</t>
  </si>
  <si>
    <t xml:space="preserve">      608 Equipment Maintenance/Rental</t>
  </si>
  <si>
    <t xml:space="preserve">      613 Web Site</t>
  </si>
  <si>
    <t xml:space="preserve">   Total 500 Direct expenses</t>
  </si>
  <si>
    <t>Total Cost of Goods Sold</t>
  </si>
  <si>
    <t>Gross Profit</t>
  </si>
  <si>
    <t>Expenses</t>
  </si>
  <si>
    <t xml:space="preserve">   600 General and administrative</t>
  </si>
  <si>
    <t xml:space="preserve">      604 Outside services</t>
  </si>
  <si>
    <t xml:space="preserve">      605 Telephone</t>
  </si>
  <si>
    <t xml:space="preserve">      606 Office supplies</t>
  </si>
  <si>
    <t xml:space="preserve">      607 Postage</t>
  </si>
  <si>
    <t xml:space="preserve">      610 Salaries - Other</t>
  </si>
  <si>
    <t xml:space="preserve">      611 Payroll taxes</t>
  </si>
  <si>
    <t xml:space="preserve">      612 Rent</t>
  </si>
  <si>
    <t xml:space="preserve">      614 Bank service charges</t>
  </si>
  <si>
    <t xml:space="preserve">      616 Utilities</t>
  </si>
  <si>
    <t xml:space="preserve">      617 Merchant Fees</t>
  </si>
  <si>
    <t xml:space="preserve">      620 Officer and director expenses</t>
  </si>
  <si>
    <t xml:space="preserve">         621 Executive director</t>
  </si>
  <si>
    <t xml:space="preserve">         623 Admin chairman</t>
  </si>
  <si>
    <t xml:space="preserve">         624 Senior chairman</t>
  </si>
  <si>
    <t xml:space="preserve">         625 Age group chairman</t>
  </si>
  <si>
    <t xml:space="preserve">         626 Officials' chairman</t>
  </si>
  <si>
    <t xml:space="preserve">      Total 620 Officer and director expenses</t>
  </si>
  <si>
    <t xml:space="preserve">      640 National convention expenses</t>
  </si>
  <si>
    <t xml:space="preserve">         642 General chairman</t>
  </si>
  <si>
    <t xml:space="preserve">         645 Age group chairman</t>
  </si>
  <si>
    <t xml:space="preserve">      Total 640 National convention expenses</t>
  </si>
  <si>
    <t xml:space="preserve">   Total 600 General and administrative</t>
  </si>
  <si>
    <t xml:space="preserve">   614.5 QuickBooks and Bill.com Payments Fees</t>
  </si>
  <si>
    <t xml:space="preserve">   620-1 Executive Search Expenses</t>
  </si>
  <si>
    <t xml:space="preserve">   66000 Payroll Expenses</t>
  </si>
  <si>
    <t xml:space="preserve">   Melio Credit card fee</t>
  </si>
  <si>
    <t xml:space="preserve">   Uncategorized Expense</t>
  </si>
  <si>
    <t>Total Expenses</t>
  </si>
  <si>
    <t>Net Operating Income</t>
  </si>
  <si>
    <t>Net Income</t>
  </si>
  <si>
    <t>Tuesday, Apr 19, 2022 05:46:10 AM GMT-7 - Accrual Basis</t>
  </si>
  <si>
    <t>Southern California Swimming, Inc.</t>
  </si>
  <si>
    <t>Profit and Loss by Class</t>
  </si>
  <si>
    <t>September 2021 -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</si>
</sst>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topLeftCell="A61" workbookViewId="0">
      <selection activeCell="N96" sqref="N96"/>
    </sheetView>
  </sheetViews>
  <sheetFormatPr defaultRowHeight="15" x14ac:dyDescent="0.25"/>
  <cols>
    <col min="1" max="1" width="34.28515625" customWidth="1"/>
    <col min="2" max="4" width="11.42578125" customWidth="1"/>
    <col min="5" max="5" width="11.140625" customWidth="1"/>
    <col min="6" max="6" width="11.42578125" customWidth="1"/>
    <col min="7" max="8" width="11.140625" customWidth="1"/>
    <col min="9" max="9" width="12" customWidth="1"/>
  </cols>
  <sheetData>
    <row r="1" spans="1:9" ht="18" x14ac:dyDescent="0.25">
      <c r="A1" s="6" t="s">
        <v>103</v>
      </c>
      <c r="B1" s="5"/>
      <c r="C1" s="5"/>
      <c r="D1" s="5"/>
      <c r="E1" s="5"/>
      <c r="F1" s="5"/>
      <c r="G1" s="5"/>
      <c r="H1" s="5"/>
      <c r="I1" s="5"/>
    </row>
    <row r="2" spans="1:9" ht="18" x14ac:dyDescent="0.25">
      <c r="A2" s="6" t="s">
        <v>104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7" t="s">
        <v>105</v>
      </c>
      <c r="B3" s="5"/>
      <c r="C3" s="5"/>
      <c r="D3" s="5"/>
      <c r="E3" s="5"/>
      <c r="F3" s="5"/>
      <c r="G3" s="5"/>
      <c r="H3" s="5"/>
      <c r="I3" s="5"/>
    </row>
    <row r="5" spans="1:9" x14ac:dyDescent="0.25">
      <c r="A5" s="1"/>
      <c r="B5" s="8" t="s">
        <v>6</v>
      </c>
      <c r="C5" s="8" t="s">
        <v>5</v>
      </c>
      <c r="D5" s="8" t="s">
        <v>4</v>
      </c>
      <c r="E5" s="8" t="s">
        <v>0</v>
      </c>
      <c r="F5" s="8" t="s">
        <v>2</v>
      </c>
      <c r="G5" s="8" t="s">
        <v>1</v>
      </c>
      <c r="H5" s="8" t="s">
        <v>3</v>
      </c>
      <c r="I5" s="8" t="s">
        <v>7</v>
      </c>
    </row>
    <row r="6" spans="1:9" x14ac:dyDescent="0.25">
      <c r="A6" s="2" t="s">
        <v>8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2" t="s">
        <v>9</v>
      </c>
      <c r="B7" s="9"/>
      <c r="C7" s="9"/>
      <c r="D7" s="9"/>
      <c r="E7" s="9"/>
      <c r="F7" s="10"/>
      <c r="G7" s="9"/>
      <c r="H7" s="9"/>
      <c r="I7" s="11"/>
    </row>
    <row r="8" spans="1:9" x14ac:dyDescent="0.25">
      <c r="A8" s="2" t="s">
        <v>10</v>
      </c>
      <c r="B8" s="9"/>
      <c r="C8" s="9"/>
      <c r="D8" s="9"/>
      <c r="E8" s="9"/>
      <c r="F8" s="10"/>
      <c r="G8" s="9"/>
      <c r="H8" s="11"/>
      <c r="I8" s="11"/>
    </row>
    <row r="9" spans="1:9" x14ac:dyDescent="0.25">
      <c r="A9" s="2" t="s">
        <v>11</v>
      </c>
      <c r="B9" s="9"/>
      <c r="C9" s="9"/>
      <c r="D9" s="9"/>
      <c r="E9" s="9"/>
      <c r="F9" s="10"/>
      <c r="G9" s="9"/>
      <c r="H9" s="9"/>
      <c r="I9" s="11"/>
    </row>
    <row r="10" spans="1:9" x14ac:dyDescent="0.25">
      <c r="A10" s="2" t="s">
        <v>12</v>
      </c>
      <c r="B10" s="11">
        <f>46925.56</f>
        <v>46925.56</v>
      </c>
      <c r="C10" s="11">
        <f>28900</f>
        <v>28900</v>
      </c>
      <c r="D10" s="11">
        <f>14563</f>
        <v>14563</v>
      </c>
      <c r="E10" s="11">
        <f>25924</f>
        <v>25924</v>
      </c>
      <c r="F10" s="12">
        <f>9499.75</f>
        <v>9499.75</v>
      </c>
      <c r="G10" s="11">
        <f>5676</f>
        <v>5676</v>
      </c>
      <c r="H10" s="11">
        <f>1121</f>
        <v>1121</v>
      </c>
      <c r="I10" s="11">
        <f>SUM(B10:H10)</f>
        <v>132609.31</v>
      </c>
    </row>
    <row r="11" spans="1:9" x14ac:dyDescent="0.25">
      <c r="A11" s="2" t="s">
        <v>13</v>
      </c>
      <c r="B11" s="11">
        <f>375571.44</f>
        <v>375571.44</v>
      </c>
      <c r="C11" s="11">
        <f>166130</f>
        <v>166130</v>
      </c>
      <c r="D11" s="11">
        <f>115268</f>
        <v>115268</v>
      </c>
      <c r="E11" s="11">
        <f>214073</f>
        <v>214073</v>
      </c>
      <c r="F11" s="12">
        <f>77074</f>
        <v>77074</v>
      </c>
      <c r="G11" s="11">
        <f>46227</f>
        <v>46227</v>
      </c>
      <c r="H11" s="11">
        <f>8382</f>
        <v>8382</v>
      </c>
      <c r="I11" s="11">
        <f>SUM(B11:H11)</f>
        <v>1002725.44</v>
      </c>
    </row>
    <row r="12" spans="1:9" x14ac:dyDescent="0.25">
      <c r="A12" s="2" t="s">
        <v>14</v>
      </c>
      <c r="B12" s="13">
        <f t="shared" ref="B12:H12" si="0">((B9)+(B10))+(B11)</f>
        <v>422497</v>
      </c>
      <c r="C12" s="13">
        <f t="shared" si="0"/>
        <v>195030</v>
      </c>
      <c r="D12" s="13">
        <f t="shared" si="0"/>
        <v>129831</v>
      </c>
      <c r="E12" s="13">
        <f t="shared" si="0"/>
        <v>239997</v>
      </c>
      <c r="F12" s="14">
        <f t="shared" si="0"/>
        <v>86573.75</v>
      </c>
      <c r="G12" s="13">
        <f t="shared" si="0"/>
        <v>51903</v>
      </c>
      <c r="H12" s="13">
        <f t="shared" si="0"/>
        <v>9503</v>
      </c>
      <c r="I12" s="11">
        <f t="shared" ref="I12:I17" si="1">SUM(B12:H12)</f>
        <v>1135334.75</v>
      </c>
    </row>
    <row r="13" spans="1:9" x14ac:dyDescent="0.25">
      <c r="A13" s="2" t="s">
        <v>15</v>
      </c>
      <c r="B13" s="11">
        <f>990</f>
        <v>990</v>
      </c>
      <c r="C13" s="11">
        <f>400</f>
        <v>400</v>
      </c>
      <c r="D13" s="11">
        <f>470</f>
        <v>470</v>
      </c>
      <c r="E13" s="11">
        <f>280</f>
        <v>280</v>
      </c>
      <c r="F13" s="12">
        <f>800</f>
        <v>800</v>
      </c>
      <c r="G13" s="11">
        <f>750</f>
        <v>750</v>
      </c>
      <c r="H13" s="11">
        <f>80</f>
        <v>80</v>
      </c>
      <c r="I13" s="11">
        <f t="shared" si="1"/>
        <v>3770</v>
      </c>
    </row>
    <row r="14" spans="1:9" x14ac:dyDescent="0.25">
      <c r="A14" s="2" t="s">
        <v>16</v>
      </c>
      <c r="B14" s="9"/>
      <c r="C14" s="9"/>
      <c r="D14" s="9"/>
      <c r="E14" s="9"/>
      <c r="F14" s="10"/>
      <c r="G14" s="9"/>
      <c r="H14" s="9"/>
      <c r="I14" s="11">
        <f t="shared" si="1"/>
        <v>0</v>
      </c>
    </row>
    <row r="15" spans="1:9" x14ac:dyDescent="0.25">
      <c r="A15" s="2" t="s">
        <v>17</v>
      </c>
      <c r="B15" s="11">
        <f>1736</f>
        <v>1736</v>
      </c>
      <c r="C15" s="11">
        <f>2647</f>
        <v>2647</v>
      </c>
      <c r="D15" s="11">
        <f>1316</f>
        <v>1316</v>
      </c>
      <c r="E15" s="11">
        <f>1782</f>
        <v>1782</v>
      </c>
      <c r="F15" s="12">
        <f>1744</f>
        <v>1744</v>
      </c>
      <c r="G15" s="11">
        <f>552</f>
        <v>552</v>
      </c>
      <c r="H15" s="11">
        <f>476</f>
        <v>476</v>
      </c>
      <c r="I15" s="11">
        <f t="shared" si="1"/>
        <v>10253</v>
      </c>
    </row>
    <row r="16" spans="1:9" x14ac:dyDescent="0.25">
      <c r="A16" s="2" t="s">
        <v>18</v>
      </c>
      <c r="B16" s="11">
        <f>13432</f>
        <v>13432</v>
      </c>
      <c r="C16" s="11">
        <f>21294</f>
        <v>21294</v>
      </c>
      <c r="D16" s="11">
        <f>10824</f>
        <v>10824</v>
      </c>
      <c r="E16" s="11">
        <f>14774</f>
        <v>14774</v>
      </c>
      <c r="F16" s="12">
        <f>14388</f>
        <v>14388</v>
      </c>
      <c r="G16" s="11">
        <f>4554</f>
        <v>4554</v>
      </c>
      <c r="H16" s="11">
        <f>2854</f>
        <v>2854</v>
      </c>
      <c r="I16" s="11">
        <f t="shared" si="1"/>
        <v>82120</v>
      </c>
    </row>
    <row r="17" spans="1:9" x14ac:dyDescent="0.25">
      <c r="A17" s="2" t="s">
        <v>19</v>
      </c>
      <c r="B17" s="13">
        <f t="shared" ref="B17:H17" si="2">((B14)+(B15))+(B16)</f>
        <v>15168</v>
      </c>
      <c r="C17" s="13">
        <f t="shared" si="2"/>
        <v>23941</v>
      </c>
      <c r="D17" s="13">
        <f t="shared" si="2"/>
        <v>12140</v>
      </c>
      <c r="E17" s="13">
        <f t="shared" si="2"/>
        <v>16556</v>
      </c>
      <c r="F17" s="14">
        <f t="shared" si="2"/>
        <v>16132</v>
      </c>
      <c r="G17" s="13">
        <f t="shared" si="2"/>
        <v>5106</v>
      </c>
      <c r="H17" s="13">
        <f t="shared" si="2"/>
        <v>3330</v>
      </c>
      <c r="I17" s="11">
        <f t="shared" si="1"/>
        <v>92373</v>
      </c>
    </row>
    <row r="18" spans="1:9" x14ac:dyDescent="0.25">
      <c r="A18" s="2" t="s">
        <v>20</v>
      </c>
      <c r="B18" s="9"/>
      <c r="C18" s="9"/>
      <c r="D18" s="9"/>
      <c r="E18" s="9"/>
      <c r="F18" s="10"/>
      <c r="G18" s="9"/>
      <c r="H18" s="9"/>
      <c r="I18" s="11"/>
    </row>
    <row r="19" spans="1:9" x14ac:dyDescent="0.25">
      <c r="A19" s="2" t="s">
        <v>21</v>
      </c>
      <c r="B19" s="11">
        <f>10494</f>
        <v>10494</v>
      </c>
      <c r="C19" s="11">
        <f>8162.5</f>
        <v>8162.5</v>
      </c>
      <c r="D19" s="11">
        <f>3364</f>
        <v>3364</v>
      </c>
      <c r="E19" s="11">
        <f>2175</f>
        <v>2175</v>
      </c>
      <c r="F19" s="12">
        <f>3280</f>
        <v>3280</v>
      </c>
      <c r="G19" s="11">
        <f>1470</f>
        <v>1470</v>
      </c>
      <c r="H19" s="11">
        <f>50</f>
        <v>50</v>
      </c>
      <c r="I19" s="11">
        <f t="shared" ref="I19:I44" si="3">SUM(B19:H19)</f>
        <v>28995.5</v>
      </c>
    </row>
    <row r="20" spans="1:9" x14ac:dyDescent="0.25">
      <c r="A20" s="2" t="s">
        <v>22</v>
      </c>
      <c r="B20" s="11">
        <f>10494</f>
        <v>10494</v>
      </c>
      <c r="C20" s="11">
        <f>8162.5</f>
        <v>8162.5</v>
      </c>
      <c r="D20" s="11">
        <f>3364</f>
        <v>3364</v>
      </c>
      <c r="E20" s="11">
        <f>2175</f>
        <v>2175</v>
      </c>
      <c r="F20" s="12">
        <f>3420</f>
        <v>3420</v>
      </c>
      <c r="G20" s="11">
        <f>1470</f>
        <v>1470</v>
      </c>
      <c r="H20" s="11">
        <f>50</f>
        <v>50</v>
      </c>
      <c r="I20" s="11">
        <f t="shared" si="3"/>
        <v>29135.5</v>
      </c>
    </row>
    <row r="21" spans="1:9" x14ac:dyDescent="0.25">
      <c r="A21" s="2" t="s">
        <v>23</v>
      </c>
      <c r="B21" s="13">
        <f t="shared" ref="B21:H21" si="4">((B18)+(B19))+(B20)</f>
        <v>20988</v>
      </c>
      <c r="C21" s="13">
        <f t="shared" si="4"/>
        <v>16325</v>
      </c>
      <c r="D21" s="13">
        <f t="shared" si="4"/>
        <v>6728</v>
      </c>
      <c r="E21" s="13">
        <f t="shared" si="4"/>
        <v>4350</v>
      </c>
      <c r="F21" s="14">
        <f t="shared" si="4"/>
        <v>6700</v>
      </c>
      <c r="G21" s="13">
        <f t="shared" si="4"/>
        <v>2940</v>
      </c>
      <c r="H21" s="13">
        <f t="shared" si="4"/>
        <v>100</v>
      </c>
      <c r="I21" s="11">
        <f t="shared" si="3"/>
        <v>58131</v>
      </c>
    </row>
    <row r="22" spans="1:9" x14ac:dyDescent="0.25">
      <c r="A22" s="2" t="s">
        <v>24</v>
      </c>
      <c r="B22" s="9"/>
      <c r="C22" s="9"/>
      <c r="D22" s="9"/>
      <c r="E22" s="9"/>
      <c r="F22" s="10"/>
      <c r="G22" s="9"/>
      <c r="H22" s="9"/>
      <c r="I22" s="11">
        <f t="shared" si="3"/>
        <v>0</v>
      </c>
    </row>
    <row r="23" spans="1:9" x14ac:dyDescent="0.25">
      <c r="A23" s="2" t="s">
        <v>25</v>
      </c>
      <c r="B23" s="11">
        <f>156</f>
        <v>156</v>
      </c>
      <c r="C23" s="11">
        <f>247</f>
        <v>247</v>
      </c>
      <c r="D23" s="11">
        <f>46</f>
        <v>46</v>
      </c>
      <c r="E23" s="11">
        <f>84</f>
        <v>84</v>
      </c>
      <c r="F23" s="12">
        <f>100</f>
        <v>100</v>
      </c>
      <c r="G23" s="11">
        <f>17</f>
        <v>17</v>
      </c>
      <c r="H23" s="11">
        <f>11</f>
        <v>11</v>
      </c>
      <c r="I23" s="11">
        <f t="shared" si="3"/>
        <v>661</v>
      </c>
    </row>
    <row r="24" spans="1:9" x14ac:dyDescent="0.25">
      <c r="A24" s="2" t="s">
        <v>26</v>
      </c>
      <c r="B24" s="11">
        <f>390</f>
        <v>390</v>
      </c>
      <c r="C24" s="11">
        <f>605</f>
        <v>605</v>
      </c>
      <c r="D24" s="11">
        <f>105</f>
        <v>105</v>
      </c>
      <c r="E24" s="11">
        <f>205</f>
        <v>205</v>
      </c>
      <c r="F24" s="12">
        <f>250</f>
        <v>250</v>
      </c>
      <c r="G24" s="11">
        <f>40</f>
        <v>40</v>
      </c>
      <c r="H24" s="11">
        <f>25</f>
        <v>25</v>
      </c>
      <c r="I24" s="11">
        <f t="shared" si="3"/>
        <v>1620</v>
      </c>
    </row>
    <row r="25" spans="1:9" x14ac:dyDescent="0.25">
      <c r="A25" s="2" t="s">
        <v>27</v>
      </c>
      <c r="B25" s="13">
        <f t="shared" ref="B25:H25" si="5">((B22)+(B23))+(B24)</f>
        <v>546</v>
      </c>
      <c r="C25" s="13">
        <f t="shared" si="5"/>
        <v>852</v>
      </c>
      <c r="D25" s="13">
        <f t="shared" si="5"/>
        <v>151</v>
      </c>
      <c r="E25" s="13">
        <f t="shared" si="5"/>
        <v>289</v>
      </c>
      <c r="F25" s="14">
        <f t="shared" si="5"/>
        <v>350</v>
      </c>
      <c r="G25" s="13">
        <f t="shared" si="5"/>
        <v>57</v>
      </c>
      <c r="H25" s="13">
        <f t="shared" si="5"/>
        <v>36</v>
      </c>
      <c r="I25" s="11">
        <f t="shared" si="3"/>
        <v>2281</v>
      </c>
    </row>
    <row r="26" spans="1:9" x14ac:dyDescent="0.25">
      <c r="A26" s="2" t="s">
        <v>28</v>
      </c>
      <c r="B26" s="9"/>
      <c r="C26" s="9"/>
      <c r="D26" s="9"/>
      <c r="E26" s="9"/>
      <c r="F26" s="10"/>
      <c r="G26" s="9"/>
      <c r="H26" s="9"/>
      <c r="I26" s="11">
        <f t="shared" si="3"/>
        <v>0</v>
      </c>
    </row>
    <row r="27" spans="1:9" x14ac:dyDescent="0.25">
      <c r="A27" s="2" t="s">
        <v>29</v>
      </c>
      <c r="B27" s="9"/>
      <c r="C27" s="9"/>
      <c r="D27" s="9"/>
      <c r="E27" s="9"/>
      <c r="F27" s="10"/>
      <c r="G27" s="9"/>
      <c r="H27" s="11">
        <f>44</f>
        <v>44</v>
      </c>
      <c r="I27" s="11">
        <f t="shared" si="3"/>
        <v>44</v>
      </c>
    </row>
    <row r="28" spans="1:9" x14ac:dyDescent="0.25">
      <c r="A28" s="2" t="s">
        <v>30</v>
      </c>
      <c r="B28" s="9"/>
      <c r="C28" s="9"/>
      <c r="D28" s="9"/>
      <c r="E28" s="9"/>
      <c r="F28" s="10"/>
      <c r="G28" s="9"/>
      <c r="H28" s="11">
        <f>60</f>
        <v>60</v>
      </c>
      <c r="I28" s="11">
        <f t="shared" si="3"/>
        <v>60</v>
      </c>
    </row>
    <row r="29" spans="1:9" x14ac:dyDescent="0.25">
      <c r="A29" s="2" t="s">
        <v>31</v>
      </c>
      <c r="B29" s="13">
        <f t="shared" ref="B29:H29" si="6">((B26)+(B27))+(B28)</f>
        <v>0</v>
      </c>
      <c r="C29" s="13">
        <f t="shared" si="6"/>
        <v>0</v>
      </c>
      <c r="D29" s="13">
        <f t="shared" si="6"/>
        <v>0</v>
      </c>
      <c r="E29" s="13">
        <f t="shared" si="6"/>
        <v>0</v>
      </c>
      <c r="F29" s="14">
        <f t="shared" si="6"/>
        <v>0</v>
      </c>
      <c r="G29" s="13">
        <f t="shared" si="6"/>
        <v>0</v>
      </c>
      <c r="H29" s="13">
        <f t="shared" si="6"/>
        <v>104</v>
      </c>
      <c r="I29" s="11">
        <f t="shared" si="3"/>
        <v>104</v>
      </c>
    </row>
    <row r="30" spans="1:9" x14ac:dyDescent="0.25">
      <c r="A30" s="2" t="s">
        <v>32</v>
      </c>
      <c r="B30" s="9"/>
      <c r="C30" s="9"/>
      <c r="D30" s="9"/>
      <c r="E30" s="9"/>
      <c r="F30" s="10"/>
      <c r="G30" s="9"/>
      <c r="H30" s="9"/>
      <c r="I30" s="11">
        <f t="shared" si="3"/>
        <v>0</v>
      </c>
    </row>
    <row r="31" spans="1:9" x14ac:dyDescent="0.25">
      <c r="A31" s="2" t="s">
        <v>33</v>
      </c>
      <c r="B31" s="9"/>
      <c r="C31" s="9"/>
      <c r="D31" s="9"/>
      <c r="E31" s="9"/>
      <c r="F31" s="12">
        <f>16</f>
        <v>16</v>
      </c>
      <c r="G31" s="11">
        <f>8</f>
        <v>8</v>
      </c>
      <c r="H31" s="9"/>
      <c r="I31" s="11">
        <f t="shared" si="3"/>
        <v>24</v>
      </c>
    </row>
    <row r="32" spans="1:9" x14ac:dyDescent="0.25">
      <c r="A32" s="2" t="s">
        <v>34</v>
      </c>
      <c r="B32" s="9"/>
      <c r="C32" s="9"/>
      <c r="D32" s="9"/>
      <c r="E32" s="9"/>
      <c r="F32" s="12">
        <f>2000</f>
        <v>2000</v>
      </c>
      <c r="G32" s="11">
        <f>1000</f>
        <v>1000</v>
      </c>
      <c r="H32" s="9"/>
      <c r="I32" s="11">
        <f t="shared" si="3"/>
        <v>3000</v>
      </c>
    </row>
    <row r="33" spans="1:9" x14ac:dyDescent="0.25">
      <c r="A33" s="2" t="s">
        <v>35</v>
      </c>
      <c r="B33" s="13">
        <f t="shared" ref="B33:H33" si="7">((B30)+(B31))+(B32)</f>
        <v>0</v>
      </c>
      <c r="C33" s="13">
        <f t="shared" si="7"/>
        <v>0</v>
      </c>
      <c r="D33" s="13">
        <f t="shared" si="7"/>
        <v>0</v>
      </c>
      <c r="E33" s="13">
        <f t="shared" si="7"/>
        <v>0</v>
      </c>
      <c r="F33" s="14">
        <f t="shared" si="7"/>
        <v>2016</v>
      </c>
      <c r="G33" s="13">
        <f t="shared" si="7"/>
        <v>1008</v>
      </c>
      <c r="H33" s="13">
        <f t="shared" si="7"/>
        <v>0</v>
      </c>
      <c r="I33" s="11">
        <f t="shared" si="3"/>
        <v>3024</v>
      </c>
    </row>
    <row r="34" spans="1:9" x14ac:dyDescent="0.25">
      <c r="A34" s="2" t="s">
        <v>36</v>
      </c>
      <c r="B34" s="9"/>
      <c r="C34" s="9"/>
      <c r="D34" s="9"/>
      <c r="E34" s="9"/>
      <c r="F34" s="10"/>
      <c r="G34" s="9"/>
      <c r="H34" s="9"/>
      <c r="I34" s="11">
        <f t="shared" si="3"/>
        <v>0</v>
      </c>
    </row>
    <row r="35" spans="1:9" x14ac:dyDescent="0.25">
      <c r="A35" s="2" t="s">
        <v>37</v>
      </c>
      <c r="B35" s="11">
        <f>1302</f>
        <v>1302</v>
      </c>
      <c r="C35" s="11">
        <f>2140</f>
        <v>2140</v>
      </c>
      <c r="D35" s="11">
        <f>3990</f>
        <v>3990</v>
      </c>
      <c r="E35" s="11">
        <f>2610</f>
        <v>2610</v>
      </c>
      <c r="F35" s="12">
        <f>1770</f>
        <v>1770</v>
      </c>
      <c r="G35" s="11">
        <f>520</f>
        <v>520</v>
      </c>
      <c r="H35" s="11">
        <f>320</f>
        <v>320</v>
      </c>
      <c r="I35" s="11">
        <f t="shared" si="3"/>
        <v>12652</v>
      </c>
    </row>
    <row r="36" spans="1:9" x14ac:dyDescent="0.25">
      <c r="A36" s="2" t="s">
        <v>38</v>
      </c>
      <c r="B36" s="11">
        <f>424</f>
        <v>424</v>
      </c>
      <c r="C36" s="11">
        <f>560</f>
        <v>560</v>
      </c>
      <c r="D36" s="11">
        <f>1260</f>
        <v>1260</v>
      </c>
      <c r="E36" s="11">
        <f>840</f>
        <v>840</v>
      </c>
      <c r="F36" s="12">
        <f>1680</f>
        <v>1680</v>
      </c>
      <c r="G36" s="11">
        <f>530</f>
        <v>530</v>
      </c>
      <c r="H36" s="11">
        <f>280</f>
        <v>280</v>
      </c>
      <c r="I36" s="11">
        <f t="shared" si="3"/>
        <v>5574</v>
      </c>
    </row>
    <row r="37" spans="1:9" x14ac:dyDescent="0.25">
      <c r="A37" s="2" t="s">
        <v>39</v>
      </c>
      <c r="B37" s="13">
        <f t="shared" ref="B37:H37" si="8">((B34)+(B35))+(B36)</f>
        <v>1726</v>
      </c>
      <c r="C37" s="13">
        <f t="shared" si="8"/>
        <v>2700</v>
      </c>
      <c r="D37" s="13">
        <f t="shared" si="8"/>
        <v>5250</v>
      </c>
      <c r="E37" s="13">
        <f t="shared" si="8"/>
        <v>3450</v>
      </c>
      <c r="F37" s="14">
        <f t="shared" si="8"/>
        <v>3450</v>
      </c>
      <c r="G37" s="13">
        <f t="shared" si="8"/>
        <v>1050</v>
      </c>
      <c r="H37" s="13">
        <f t="shared" si="8"/>
        <v>600</v>
      </c>
      <c r="I37" s="11">
        <f t="shared" si="3"/>
        <v>18226</v>
      </c>
    </row>
    <row r="38" spans="1:9" x14ac:dyDescent="0.25">
      <c r="A38" s="2" t="s">
        <v>40</v>
      </c>
      <c r="B38" s="14">
        <f t="shared" ref="B38:H38" si="9">((((((((B8)+(B12))+(B13))+(B17))+(B21))+(B25))+(B29))+(B33))+(B37)</f>
        <v>461915</v>
      </c>
      <c r="C38" s="14">
        <f t="shared" si="9"/>
        <v>239248</v>
      </c>
      <c r="D38" s="14">
        <f t="shared" si="9"/>
        <v>154570</v>
      </c>
      <c r="E38" s="14">
        <f t="shared" si="9"/>
        <v>264922</v>
      </c>
      <c r="F38" s="14">
        <f t="shared" si="9"/>
        <v>116021.75</v>
      </c>
      <c r="G38" s="14">
        <f t="shared" si="9"/>
        <v>62814</v>
      </c>
      <c r="H38" s="14">
        <f t="shared" si="9"/>
        <v>13753</v>
      </c>
      <c r="I38" s="11">
        <f t="shared" si="3"/>
        <v>1313243.75</v>
      </c>
    </row>
    <row r="39" spans="1:9" x14ac:dyDescent="0.25">
      <c r="A39" s="2" t="s">
        <v>41</v>
      </c>
      <c r="B39" s="11">
        <f>4514.4</f>
        <v>4514.3999999999996</v>
      </c>
      <c r="C39" s="11">
        <f>15633.5</f>
        <v>15633.5</v>
      </c>
      <c r="D39" s="11">
        <f>2513.4</f>
        <v>2513.4</v>
      </c>
      <c r="E39" s="9"/>
      <c r="F39" s="12">
        <f>39069.41</f>
        <v>39069.410000000003</v>
      </c>
      <c r="G39" s="11">
        <f>2455.9</f>
        <v>2455.9</v>
      </c>
      <c r="H39" s="9"/>
      <c r="I39" s="11">
        <f t="shared" si="3"/>
        <v>64186.610000000008</v>
      </c>
    </row>
    <row r="40" spans="1:9" x14ac:dyDescent="0.25">
      <c r="A40" s="2" t="s">
        <v>42</v>
      </c>
      <c r="B40" s="9"/>
      <c r="C40" s="11">
        <f>1810.5</f>
        <v>1810.5</v>
      </c>
      <c r="D40" s="11">
        <f>-60</f>
        <v>-60</v>
      </c>
      <c r="E40" s="11">
        <f>1055</f>
        <v>1055</v>
      </c>
      <c r="F40" s="12">
        <f>655</f>
        <v>655</v>
      </c>
      <c r="G40" s="11">
        <f>235.25</f>
        <v>235.25</v>
      </c>
      <c r="H40" s="11">
        <f>75</f>
        <v>75</v>
      </c>
      <c r="I40" s="11">
        <f t="shared" si="3"/>
        <v>3770.75</v>
      </c>
    </row>
    <row r="41" spans="1:9" x14ac:dyDescent="0.25">
      <c r="A41" s="2" t="s">
        <v>43</v>
      </c>
      <c r="B41" s="9"/>
      <c r="C41" s="11">
        <f>2030</f>
        <v>2030</v>
      </c>
      <c r="D41" s="9"/>
      <c r="E41" s="9"/>
      <c r="F41" s="10"/>
      <c r="G41" s="9"/>
      <c r="H41" s="9"/>
      <c r="I41" s="11">
        <f t="shared" si="3"/>
        <v>2030</v>
      </c>
    </row>
    <row r="42" spans="1:9" x14ac:dyDescent="0.25">
      <c r="A42" s="2" t="s">
        <v>44</v>
      </c>
      <c r="B42" s="13">
        <f t="shared" ref="B42:H42" si="10">((((B7)+(B38))+(B39))+(B40))+(B41)</f>
        <v>466429.4</v>
      </c>
      <c r="C42" s="13">
        <f t="shared" si="10"/>
        <v>258722</v>
      </c>
      <c r="D42" s="13">
        <f t="shared" si="10"/>
        <v>157023.4</v>
      </c>
      <c r="E42" s="13">
        <f t="shared" si="10"/>
        <v>265977</v>
      </c>
      <c r="F42" s="14">
        <f t="shared" si="10"/>
        <v>155746.16</v>
      </c>
      <c r="G42" s="13">
        <f t="shared" si="10"/>
        <v>65505.15</v>
      </c>
      <c r="H42" s="13">
        <f t="shared" si="10"/>
        <v>13828</v>
      </c>
      <c r="I42" s="11">
        <f t="shared" si="3"/>
        <v>1383231.1099999999</v>
      </c>
    </row>
    <row r="43" spans="1:9" x14ac:dyDescent="0.25">
      <c r="A43" s="2" t="s">
        <v>45</v>
      </c>
      <c r="B43" s="9"/>
      <c r="C43" s="9"/>
      <c r="D43" s="9"/>
      <c r="E43" s="9"/>
      <c r="F43" s="10"/>
      <c r="G43" s="9"/>
      <c r="H43" s="9"/>
      <c r="I43" s="11">
        <f t="shared" si="3"/>
        <v>0</v>
      </c>
    </row>
    <row r="44" spans="1:9" x14ac:dyDescent="0.25">
      <c r="A44" s="2" t="s">
        <v>46</v>
      </c>
      <c r="B44" s="14">
        <f t="shared" ref="B44:H44" si="11">(B42)+(B43)</f>
        <v>466429.4</v>
      </c>
      <c r="C44" s="14">
        <f t="shared" si="11"/>
        <v>258722</v>
      </c>
      <c r="D44" s="14">
        <f t="shared" si="11"/>
        <v>157023.4</v>
      </c>
      <c r="E44" s="14">
        <f t="shared" si="11"/>
        <v>265977</v>
      </c>
      <c r="F44" s="14">
        <f t="shared" si="11"/>
        <v>155746.16</v>
      </c>
      <c r="G44" s="14">
        <f t="shared" si="11"/>
        <v>65505.15</v>
      </c>
      <c r="H44" s="14">
        <f t="shared" si="11"/>
        <v>13828</v>
      </c>
      <c r="I44" s="12">
        <f t="shared" si="3"/>
        <v>1383231.1099999999</v>
      </c>
    </row>
    <row r="45" spans="1:9" x14ac:dyDescent="0.25">
      <c r="A45" s="2" t="s">
        <v>47</v>
      </c>
      <c r="B45" s="9"/>
      <c r="C45" s="9"/>
      <c r="D45" s="9"/>
      <c r="E45" s="9"/>
      <c r="F45" s="10"/>
      <c r="G45" s="9"/>
      <c r="H45" s="9"/>
      <c r="I45" s="9"/>
    </row>
    <row r="46" spans="1:9" x14ac:dyDescent="0.25">
      <c r="A46" s="2" t="s">
        <v>48</v>
      </c>
      <c r="B46" s="9"/>
      <c r="C46" s="9"/>
      <c r="D46" s="9"/>
      <c r="E46" s="9"/>
      <c r="F46" s="10"/>
      <c r="G46" s="9"/>
      <c r="H46" s="9"/>
      <c r="I46" s="11"/>
    </row>
    <row r="47" spans="1:9" x14ac:dyDescent="0.25">
      <c r="A47" s="2" t="s">
        <v>49</v>
      </c>
      <c r="B47" s="9"/>
      <c r="C47" s="9"/>
      <c r="D47" s="9"/>
      <c r="E47" s="9"/>
      <c r="F47" s="10"/>
      <c r="G47" s="9"/>
      <c r="H47" s="9"/>
      <c r="I47" s="11"/>
    </row>
    <row r="48" spans="1:9" x14ac:dyDescent="0.25">
      <c r="A48" s="2" t="s">
        <v>50</v>
      </c>
      <c r="B48" s="11">
        <f>394106</f>
        <v>394106</v>
      </c>
      <c r="C48" s="11">
        <f>177738</f>
        <v>177738</v>
      </c>
      <c r="D48" s="11">
        <f>112662</f>
        <v>112662</v>
      </c>
      <c r="E48" s="11">
        <f>220506</f>
        <v>220506</v>
      </c>
      <c r="F48" s="10">
        <v>77074</v>
      </c>
      <c r="G48" s="11">
        <v>46227</v>
      </c>
      <c r="H48" s="11">
        <v>8382</v>
      </c>
      <c r="I48" s="11">
        <f t="shared" ref="I48:I99" si="12">SUM(B48:H48)</f>
        <v>1036695</v>
      </c>
    </row>
    <row r="49" spans="1:9" x14ac:dyDescent="0.25">
      <c r="A49" s="2" t="s">
        <v>51</v>
      </c>
      <c r="B49" s="11">
        <f>16990</f>
        <v>16990</v>
      </c>
      <c r="C49" s="11">
        <f>12936</f>
        <v>12936</v>
      </c>
      <c r="D49" s="11">
        <f>11352</f>
        <v>11352</v>
      </c>
      <c r="E49" s="11">
        <f>16231</f>
        <v>16231</v>
      </c>
      <c r="F49" s="10">
        <v>1744</v>
      </c>
      <c r="G49" s="11">
        <v>4554</v>
      </c>
      <c r="H49" s="11">
        <v>2854</v>
      </c>
      <c r="I49" s="11">
        <f t="shared" si="12"/>
        <v>66661</v>
      </c>
    </row>
    <row r="50" spans="1:9" x14ac:dyDescent="0.25">
      <c r="A50" s="2" t="s">
        <v>52</v>
      </c>
      <c r="B50" s="11">
        <f>13560</f>
        <v>13560</v>
      </c>
      <c r="C50" s="11">
        <f>5870</f>
        <v>5870</v>
      </c>
      <c r="D50" s="11">
        <f>2660</f>
        <v>2660</v>
      </c>
      <c r="E50" s="11">
        <f>2090</f>
        <v>2090</v>
      </c>
      <c r="F50" s="10">
        <v>3280</v>
      </c>
      <c r="G50" s="11">
        <v>1470</v>
      </c>
      <c r="H50" s="11">
        <v>50</v>
      </c>
      <c r="I50" s="11">
        <f t="shared" si="12"/>
        <v>28980</v>
      </c>
    </row>
    <row r="51" spans="1:9" x14ac:dyDescent="0.25">
      <c r="A51" s="2" t="s">
        <v>53</v>
      </c>
      <c r="B51" s="11">
        <f>470</f>
        <v>470</v>
      </c>
      <c r="C51" s="11">
        <f>560</f>
        <v>560</v>
      </c>
      <c r="D51" s="11">
        <f>480</f>
        <v>480</v>
      </c>
      <c r="E51" s="11">
        <f>240</f>
        <v>240</v>
      </c>
      <c r="F51" s="10">
        <v>100</v>
      </c>
      <c r="G51" s="11">
        <f>285</f>
        <v>285</v>
      </c>
      <c r="H51" s="11">
        <v>25</v>
      </c>
      <c r="I51" s="11">
        <f t="shared" si="12"/>
        <v>2160</v>
      </c>
    </row>
    <row r="52" spans="1:9" x14ac:dyDescent="0.25">
      <c r="A52" s="2" t="s">
        <v>54</v>
      </c>
      <c r="B52" s="11">
        <f>660</f>
        <v>660</v>
      </c>
      <c r="C52" s="11">
        <f>0</f>
        <v>0</v>
      </c>
      <c r="D52" s="11">
        <f>0</f>
        <v>0</v>
      </c>
      <c r="E52" s="11">
        <f>0</f>
        <v>0</v>
      </c>
      <c r="F52" s="10">
        <v>0</v>
      </c>
      <c r="G52" s="11">
        <f>10</f>
        <v>10</v>
      </c>
      <c r="H52" s="11">
        <f>0</f>
        <v>0</v>
      </c>
      <c r="I52" s="11">
        <f t="shared" si="12"/>
        <v>670</v>
      </c>
    </row>
    <row r="53" spans="1:9" x14ac:dyDescent="0.25">
      <c r="A53" s="2" t="s">
        <v>55</v>
      </c>
      <c r="B53" s="11">
        <f>0</f>
        <v>0</v>
      </c>
      <c r="C53" s="11">
        <f>0</f>
        <v>0</v>
      </c>
      <c r="D53" s="11">
        <f>2450</f>
        <v>2450</v>
      </c>
      <c r="E53" s="11">
        <f>0</f>
        <v>0</v>
      </c>
      <c r="F53" s="10">
        <v>16</v>
      </c>
      <c r="G53" s="11">
        <f>0</f>
        <v>0</v>
      </c>
      <c r="H53" s="11">
        <f>0</f>
        <v>0</v>
      </c>
      <c r="I53" s="11">
        <f t="shared" si="12"/>
        <v>2466</v>
      </c>
    </row>
    <row r="54" spans="1:9" x14ac:dyDescent="0.25">
      <c r="A54" s="2" t="s">
        <v>56</v>
      </c>
      <c r="B54" s="11">
        <f>910</f>
        <v>910</v>
      </c>
      <c r="C54" s="11">
        <f>1680</f>
        <v>1680</v>
      </c>
      <c r="D54" s="11">
        <f>70</f>
        <v>70</v>
      </c>
      <c r="E54" s="11">
        <f>2940</f>
        <v>2940</v>
      </c>
      <c r="F54" s="10">
        <v>1680</v>
      </c>
      <c r="G54" s="11">
        <v>530</v>
      </c>
      <c r="H54" s="11">
        <v>280</v>
      </c>
      <c r="I54" s="11">
        <f t="shared" si="12"/>
        <v>8090</v>
      </c>
    </row>
    <row r="55" spans="1:9" x14ac:dyDescent="0.25">
      <c r="A55" s="2" t="s">
        <v>57</v>
      </c>
      <c r="B55" s="14">
        <f t="shared" ref="B55:H55" si="13">(((((((B47)+(B48))+(B49))+(B50))+(B51))+(B52))+(B53))+(B54)</f>
        <v>426696</v>
      </c>
      <c r="C55" s="14">
        <f t="shared" si="13"/>
        <v>198784</v>
      </c>
      <c r="D55" s="14">
        <f t="shared" si="13"/>
        <v>129674</v>
      </c>
      <c r="E55" s="14">
        <f t="shared" si="13"/>
        <v>242007</v>
      </c>
      <c r="F55" s="14">
        <f t="shared" si="13"/>
        <v>83894</v>
      </c>
      <c r="G55" s="14">
        <f t="shared" si="13"/>
        <v>53076</v>
      </c>
      <c r="H55" s="14">
        <f t="shared" si="13"/>
        <v>11591</v>
      </c>
      <c r="I55" s="12">
        <f t="shared" si="12"/>
        <v>1145722</v>
      </c>
    </row>
    <row r="56" spans="1:9" x14ac:dyDescent="0.25">
      <c r="A56" s="2" t="s">
        <v>58</v>
      </c>
      <c r="B56" s="9"/>
      <c r="C56" s="9"/>
      <c r="D56" s="9"/>
      <c r="E56" s="9"/>
      <c r="F56" s="10"/>
      <c r="G56" s="9"/>
      <c r="H56" s="9"/>
      <c r="I56" s="11">
        <f t="shared" si="12"/>
        <v>0</v>
      </c>
    </row>
    <row r="57" spans="1:9" x14ac:dyDescent="0.25">
      <c r="A57" s="2" t="s">
        <v>59</v>
      </c>
      <c r="B57" s="9"/>
      <c r="C57" s="9"/>
      <c r="D57" s="9"/>
      <c r="E57" s="9"/>
      <c r="F57" s="9"/>
      <c r="G57" s="9"/>
      <c r="H57" s="9"/>
      <c r="I57" s="11">
        <f t="shared" si="12"/>
        <v>0</v>
      </c>
    </row>
    <row r="58" spans="1:9" x14ac:dyDescent="0.25">
      <c r="A58" s="2" t="s">
        <v>60</v>
      </c>
      <c r="B58" s="9"/>
      <c r="C58" s="11">
        <f>125</f>
        <v>125</v>
      </c>
      <c r="D58" s="9"/>
      <c r="E58" s="11">
        <f>539.76</f>
        <v>539.76</v>
      </c>
      <c r="F58" s="9"/>
      <c r="G58" s="11">
        <f>1641.65</f>
        <v>1641.65</v>
      </c>
      <c r="H58" s="9"/>
      <c r="I58" s="11">
        <f t="shared" si="12"/>
        <v>2306.41</v>
      </c>
    </row>
    <row r="59" spans="1:9" x14ac:dyDescent="0.25">
      <c r="A59" s="2" t="s">
        <v>61</v>
      </c>
      <c r="B59" s="11">
        <f>8256.77</f>
        <v>8256.77</v>
      </c>
      <c r="C59" s="9"/>
      <c r="D59" s="9"/>
      <c r="E59" s="9"/>
      <c r="F59" s="9"/>
      <c r="G59" s="9"/>
      <c r="H59" s="9"/>
      <c r="I59" s="11">
        <f t="shared" si="12"/>
        <v>8256.77</v>
      </c>
    </row>
    <row r="60" spans="1:9" x14ac:dyDescent="0.25">
      <c r="A60" s="2" t="s">
        <v>62</v>
      </c>
      <c r="B60" s="13">
        <f t="shared" ref="B60:H60" si="14">((B57)+(B58))+(B59)</f>
        <v>8256.77</v>
      </c>
      <c r="C60" s="13">
        <f t="shared" si="14"/>
        <v>125</v>
      </c>
      <c r="D60" s="13">
        <f t="shared" si="14"/>
        <v>0</v>
      </c>
      <c r="E60" s="13">
        <f t="shared" si="14"/>
        <v>539.76</v>
      </c>
      <c r="F60" s="13">
        <f t="shared" si="14"/>
        <v>0</v>
      </c>
      <c r="G60" s="13">
        <f t="shared" si="14"/>
        <v>1641.65</v>
      </c>
      <c r="H60" s="13">
        <f t="shared" si="14"/>
        <v>0</v>
      </c>
      <c r="I60" s="11">
        <f t="shared" si="12"/>
        <v>10563.18</v>
      </c>
    </row>
    <row r="61" spans="1:9" x14ac:dyDescent="0.25">
      <c r="A61" s="2" t="s">
        <v>63</v>
      </c>
      <c r="B61" s="13">
        <f t="shared" ref="B61:H61" si="15">(B56)+(B60)</f>
        <v>8256.77</v>
      </c>
      <c r="C61" s="13">
        <f t="shared" si="15"/>
        <v>125</v>
      </c>
      <c r="D61" s="13">
        <f t="shared" si="15"/>
        <v>0</v>
      </c>
      <c r="E61" s="13">
        <f t="shared" si="15"/>
        <v>539.76</v>
      </c>
      <c r="F61" s="13">
        <f t="shared" si="15"/>
        <v>0</v>
      </c>
      <c r="G61" s="13">
        <f t="shared" si="15"/>
        <v>1641.65</v>
      </c>
      <c r="H61" s="13">
        <f t="shared" si="15"/>
        <v>0</v>
      </c>
      <c r="I61" s="11">
        <f t="shared" si="12"/>
        <v>10563.18</v>
      </c>
    </row>
    <row r="62" spans="1:9" x14ac:dyDescent="0.25">
      <c r="A62" s="2" t="s">
        <v>64</v>
      </c>
      <c r="B62" s="11">
        <f>750</f>
        <v>750</v>
      </c>
      <c r="C62" s="11">
        <f>4746.25</f>
        <v>4746.25</v>
      </c>
      <c r="D62" s="11">
        <f>8050.24</f>
        <v>8050.24</v>
      </c>
      <c r="E62" s="11">
        <f>2050</f>
        <v>2050</v>
      </c>
      <c r="F62" s="11">
        <f>17685</f>
        <v>17685</v>
      </c>
      <c r="G62" s="11">
        <f>1883.02</f>
        <v>1883.02</v>
      </c>
      <c r="H62" s="9"/>
      <c r="I62" s="11">
        <f t="shared" si="12"/>
        <v>35164.509999999995</v>
      </c>
    </row>
    <row r="63" spans="1:9" x14ac:dyDescent="0.25">
      <c r="A63" s="2" t="s">
        <v>65</v>
      </c>
      <c r="B63" s="11">
        <f>96.36</f>
        <v>96.36</v>
      </c>
      <c r="C63" s="11">
        <f>96.36</f>
        <v>96.36</v>
      </c>
      <c r="D63" s="11">
        <f>96.36</f>
        <v>96.36</v>
      </c>
      <c r="E63" s="11">
        <f>96.36</f>
        <v>96.36</v>
      </c>
      <c r="F63" s="9"/>
      <c r="G63" s="11">
        <f>192.72</f>
        <v>192.72</v>
      </c>
      <c r="H63" s="9"/>
      <c r="I63" s="11">
        <f t="shared" si="12"/>
        <v>578.16</v>
      </c>
    </row>
    <row r="64" spans="1:9" x14ac:dyDescent="0.25">
      <c r="A64" s="2" t="s">
        <v>66</v>
      </c>
      <c r="B64" s="9"/>
      <c r="C64" s="11">
        <f>450</f>
        <v>450</v>
      </c>
      <c r="D64" s="9"/>
      <c r="E64" s="11">
        <f>7450</f>
        <v>7450</v>
      </c>
      <c r="F64" s="9"/>
      <c r="G64" s="9"/>
      <c r="H64" s="9"/>
      <c r="I64" s="11">
        <f t="shared" si="12"/>
        <v>7900</v>
      </c>
    </row>
    <row r="65" spans="1:9" x14ac:dyDescent="0.25">
      <c r="A65" s="2" t="s">
        <v>67</v>
      </c>
      <c r="B65" s="13">
        <f t="shared" ref="B65:H65" si="16">(((((B46)+(B55))+(B61))+(B62))+(B63))+(B64)</f>
        <v>435799.13</v>
      </c>
      <c r="C65" s="13">
        <f t="shared" si="16"/>
        <v>204201.61</v>
      </c>
      <c r="D65" s="13">
        <f t="shared" si="16"/>
        <v>137820.59999999998</v>
      </c>
      <c r="E65" s="13">
        <f t="shared" si="16"/>
        <v>252143.12</v>
      </c>
      <c r="F65" s="13">
        <f t="shared" si="16"/>
        <v>101579</v>
      </c>
      <c r="G65" s="13">
        <f t="shared" si="16"/>
        <v>56793.39</v>
      </c>
      <c r="H65" s="13">
        <f t="shared" si="16"/>
        <v>11591</v>
      </c>
      <c r="I65" s="11">
        <f t="shared" si="12"/>
        <v>1199927.8499999999</v>
      </c>
    </row>
    <row r="66" spans="1:9" x14ac:dyDescent="0.25">
      <c r="A66" s="2" t="s">
        <v>68</v>
      </c>
      <c r="B66" s="13">
        <f t="shared" ref="B66:H66" si="17">B65</f>
        <v>435799.13</v>
      </c>
      <c r="C66" s="13">
        <f t="shared" si="17"/>
        <v>204201.61</v>
      </c>
      <c r="D66" s="13">
        <f t="shared" si="17"/>
        <v>137820.59999999998</v>
      </c>
      <c r="E66" s="13">
        <f t="shared" si="17"/>
        <v>252143.12</v>
      </c>
      <c r="F66" s="13">
        <f t="shared" si="17"/>
        <v>101579</v>
      </c>
      <c r="G66" s="13">
        <f t="shared" si="17"/>
        <v>56793.39</v>
      </c>
      <c r="H66" s="13">
        <f t="shared" si="17"/>
        <v>11591</v>
      </c>
      <c r="I66" s="11">
        <f t="shared" si="12"/>
        <v>1199927.8499999999</v>
      </c>
    </row>
    <row r="67" spans="1:9" x14ac:dyDescent="0.25">
      <c r="A67" s="2" t="s">
        <v>69</v>
      </c>
      <c r="B67" s="13">
        <f t="shared" ref="B67:H67" si="18">(B44)-(B66)</f>
        <v>30630.270000000019</v>
      </c>
      <c r="C67" s="13">
        <f t="shared" si="18"/>
        <v>54520.390000000014</v>
      </c>
      <c r="D67" s="13">
        <f t="shared" si="18"/>
        <v>19202.800000000017</v>
      </c>
      <c r="E67" s="13">
        <f t="shared" si="18"/>
        <v>13833.880000000005</v>
      </c>
      <c r="F67" s="13">
        <f t="shared" si="18"/>
        <v>54167.16</v>
      </c>
      <c r="G67" s="13">
        <f t="shared" si="18"/>
        <v>8711.760000000002</v>
      </c>
      <c r="H67" s="13">
        <f t="shared" si="18"/>
        <v>2237</v>
      </c>
      <c r="I67" s="11">
        <f t="shared" si="12"/>
        <v>183303.26000000007</v>
      </c>
    </row>
    <row r="68" spans="1:9" x14ac:dyDescent="0.25">
      <c r="A68" s="2" t="s">
        <v>70</v>
      </c>
      <c r="B68" s="9"/>
      <c r="C68" s="9"/>
      <c r="D68" s="9"/>
      <c r="E68" s="9"/>
      <c r="F68" s="9"/>
      <c r="G68" s="9"/>
      <c r="H68" s="9"/>
      <c r="I68" s="11">
        <f t="shared" si="12"/>
        <v>0</v>
      </c>
    </row>
    <row r="69" spans="1:9" x14ac:dyDescent="0.25">
      <c r="A69" s="2" t="s">
        <v>71</v>
      </c>
      <c r="B69" s="9"/>
      <c r="C69" s="9"/>
      <c r="D69" s="9"/>
      <c r="E69" s="9"/>
      <c r="F69" s="9"/>
      <c r="G69" s="11"/>
      <c r="H69" s="9"/>
      <c r="I69" s="11">
        <f t="shared" si="12"/>
        <v>0</v>
      </c>
    </row>
    <row r="70" spans="1:9" x14ac:dyDescent="0.25">
      <c r="A70" s="2" t="s">
        <v>72</v>
      </c>
      <c r="B70" s="11">
        <f>1000</f>
        <v>1000</v>
      </c>
      <c r="C70" s="11">
        <f>1000</f>
        <v>1000</v>
      </c>
      <c r="D70" s="11">
        <f>1000</f>
        <v>1000</v>
      </c>
      <c r="E70" s="11">
        <f>4000</f>
        <v>4000</v>
      </c>
      <c r="F70" s="11">
        <f>1000</f>
        <v>1000</v>
      </c>
      <c r="G70" s="11">
        <f>1000</f>
        <v>1000</v>
      </c>
      <c r="H70" s="11">
        <f>1000</f>
        <v>1000</v>
      </c>
      <c r="I70" s="11">
        <f t="shared" si="12"/>
        <v>10000</v>
      </c>
    </row>
    <row r="71" spans="1:9" x14ac:dyDescent="0.25">
      <c r="A71" s="2" t="s">
        <v>73</v>
      </c>
      <c r="B71" s="9"/>
      <c r="C71" s="11">
        <f>421.44</f>
        <v>421.44</v>
      </c>
      <c r="D71" s="11">
        <f>20</f>
        <v>20</v>
      </c>
      <c r="E71" s="11">
        <f>60</f>
        <v>60</v>
      </c>
      <c r="F71" s="11">
        <f>60</f>
        <v>60</v>
      </c>
      <c r="G71" s="9"/>
      <c r="H71" s="9"/>
      <c r="I71" s="11">
        <f t="shared" si="12"/>
        <v>561.44000000000005</v>
      </c>
    </row>
    <row r="72" spans="1:9" x14ac:dyDescent="0.25">
      <c r="A72" s="2" t="s">
        <v>74</v>
      </c>
      <c r="B72" s="11">
        <f>74.98</f>
        <v>74.98</v>
      </c>
      <c r="C72" s="11">
        <f>251.6</f>
        <v>251.6</v>
      </c>
      <c r="D72" s="11">
        <f>1085.75</f>
        <v>1085.75</v>
      </c>
      <c r="E72" s="11">
        <f>2908.87</f>
        <v>2908.87</v>
      </c>
      <c r="F72" s="11">
        <f>48.41</f>
        <v>48.41</v>
      </c>
      <c r="G72" s="11">
        <f>2343.53</f>
        <v>2343.5300000000002</v>
      </c>
      <c r="H72" s="11">
        <f>738.39</f>
        <v>738.39</v>
      </c>
      <c r="I72" s="11">
        <f t="shared" si="12"/>
        <v>7451.53</v>
      </c>
    </row>
    <row r="73" spans="1:9" x14ac:dyDescent="0.25">
      <c r="A73" s="2" t="s">
        <v>75</v>
      </c>
      <c r="B73" s="9"/>
      <c r="C73" s="9"/>
      <c r="D73" s="11">
        <f>9</f>
        <v>9</v>
      </c>
      <c r="E73" s="11">
        <f>3</f>
        <v>3</v>
      </c>
      <c r="F73" s="9"/>
      <c r="G73" s="9"/>
      <c r="H73" s="9"/>
      <c r="I73" s="11">
        <f t="shared" si="12"/>
        <v>12</v>
      </c>
    </row>
    <row r="74" spans="1:9" x14ac:dyDescent="0.25">
      <c r="A74" s="2" t="s">
        <v>76</v>
      </c>
      <c r="B74" s="11">
        <f>6305.25</f>
        <v>6305.25</v>
      </c>
      <c r="C74" s="11">
        <f>6287.25</f>
        <v>6287.25</v>
      </c>
      <c r="D74" s="11">
        <f>6449.25</f>
        <v>6449.25</v>
      </c>
      <c r="E74" s="11">
        <f>6161.25</f>
        <v>6161.25</v>
      </c>
      <c r="F74" s="11">
        <f>6358.23</f>
        <v>6358.23</v>
      </c>
      <c r="G74" s="11">
        <f>6395.78</f>
        <v>6395.78</v>
      </c>
      <c r="H74" s="9">
        <v>6375.48</v>
      </c>
      <c r="I74" s="11">
        <f t="shared" si="12"/>
        <v>44332.490000000005</v>
      </c>
    </row>
    <row r="75" spans="1:9" x14ac:dyDescent="0.25">
      <c r="A75" s="2" t="s">
        <v>77</v>
      </c>
      <c r="B75" s="11">
        <f>482.34</f>
        <v>482.34</v>
      </c>
      <c r="C75" s="11">
        <f>480.98</f>
        <v>480.98</v>
      </c>
      <c r="D75" s="11">
        <f>493.37</f>
        <v>493.37</v>
      </c>
      <c r="E75" s="11">
        <f>471.34</f>
        <v>471.34</v>
      </c>
      <c r="F75" s="11">
        <f>615.38</f>
        <v>615.38</v>
      </c>
      <c r="G75" s="11">
        <f>489.69</f>
        <v>489.69</v>
      </c>
      <c r="H75" s="9">
        <v>492.25</v>
      </c>
      <c r="I75" s="11">
        <f t="shared" si="12"/>
        <v>3525.35</v>
      </c>
    </row>
    <row r="76" spans="1:9" x14ac:dyDescent="0.25">
      <c r="A76" s="2" t="s">
        <v>78</v>
      </c>
      <c r="B76" s="11">
        <f>2437</f>
        <v>2437</v>
      </c>
      <c r="C76" s="11">
        <f>3600</f>
        <v>3600</v>
      </c>
      <c r="D76" s="11">
        <f>2437</f>
        <v>2437</v>
      </c>
      <c r="E76" s="11">
        <f>2437</f>
        <v>2437</v>
      </c>
      <c r="F76" s="11">
        <f>1800</f>
        <v>1800</v>
      </c>
      <c r="G76" s="11">
        <f>1800</f>
        <v>1800</v>
      </c>
      <c r="H76" s="11">
        <f>1800</f>
        <v>1800</v>
      </c>
      <c r="I76" s="11">
        <f t="shared" si="12"/>
        <v>16311</v>
      </c>
    </row>
    <row r="77" spans="1:9" x14ac:dyDescent="0.25">
      <c r="A77" s="2" t="s">
        <v>79</v>
      </c>
      <c r="B77" s="11">
        <f>35.13</f>
        <v>35.130000000000003</v>
      </c>
      <c r="C77" s="11">
        <f>59</f>
        <v>59</v>
      </c>
      <c r="D77" s="11">
        <f>27</f>
        <v>27</v>
      </c>
      <c r="E77" s="11">
        <f>27</f>
        <v>27</v>
      </c>
      <c r="F77" s="11">
        <f>77.61</f>
        <v>77.61</v>
      </c>
      <c r="G77" s="11">
        <f>5.16</f>
        <v>5.16</v>
      </c>
      <c r="H77" s="9"/>
      <c r="I77" s="11">
        <f t="shared" si="12"/>
        <v>230.9</v>
      </c>
    </row>
    <row r="78" spans="1:9" x14ac:dyDescent="0.25">
      <c r="A78" s="2" t="s">
        <v>80</v>
      </c>
      <c r="B78" s="11">
        <f>119.6</f>
        <v>119.6</v>
      </c>
      <c r="C78" s="11">
        <f>18.83</f>
        <v>18.829999999999998</v>
      </c>
      <c r="D78" s="11">
        <f>1174.14</f>
        <v>1174.1400000000001</v>
      </c>
      <c r="E78" s="11">
        <f>171.15</f>
        <v>171.15</v>
      </c>
      <c r="F78" s="11">
        <f>611.94</f>
        <v>611.94000000000005</v>
      </c>
      <c r="G78" s="11">
        <f>-132.74</f>
        <v>-132.74</v>
      </c>
      <c r="H78" s="11">
        <f>211.1</f>
        <v>211.1</v>
      </c>
      <c r="I78" s="11">
        <f t="shared" si="12"/>
        <v>2174.0200000000004</v>
      </c>
    </row>
    <row r="79" spans="1:9" x14ac:dyDescent="0.25">
      <c r="A79" s="2" t="s">
        <v>81</v>
      </c>
      <c r="B79" s="11">
        <f>6151.37</f>
        <v>6151.37</v>
      </c>
      <c r="C79" s="11">
        <f>600.34</f>
        <v>600.34</v>
      </c>
      <c r="D79" s="11">
        <f>-47.1</f>
        <v>-47.1</v>
      </c>
      <c r="E79" s="11">
        <f>175.96</f>
        <v>175.96</v>
      </c>
      <c r="F79" s="11">
        <f>219.04</f>
        <v>219.04</v>
      </c>
      <c r="G79" s="11">
        <f>539.48</f>
        <v>539.48</v>
      </c>
      <c r="H79" s="11">
        <f>278.53</f>
        <v>278.52999999999997</v>
      </c>
      <c r="I79" s="11">
        <f t="shared" si="12"/>
        <v>7917.62</v>
      </c>
    </row>
    <row r="80" spans="1:9" x14ac:dyDescent="0.25">
      <c r="A80" s="2" t="s">
        <v>82</v>
      </c>
      <c r="B80" s="9"/>
      <c r="C80" s="9"/>
      <c r="D80" s="9"/>
      <c r="E80" s="9"/>
      <c r="F80" s="9"/>
      <c r="G80" s="9"/>
      <c r="H80" s="9"/>
      <c r="I80" s="11">
        <f t="shared" si="12"/>
        <v>0</v>
      </c>
    </row>
    <row r="81" spans="1:9" x14ac:dyDescent="0.25">
      <c r="A81" s="2" t="s">
        <v>83</v>
      </c>
      <c r="B81" s="9"/>
      <c r="C81" s="9"/>
      <c r="D81" s="9"/>
      <c r="E81" s="9"/>
      <c r="F81" s="9"/>
      <c r="G81" s="9"/>
      <c r="H81" s="11">
        <f>1038.95</f>
        <v>1038.95</v>
      </c>
      <c r="I81" s="11">
        <f t="shared" si="12"/>
        <v>1038.95</v>
      </c>
    </row>
    <row r="82" spans="1:9" x14ac:dyDescent="0.25">
      <c r="A82" s="2" t="s">
        <v>84</v>
      </c>
      <c r="B82" s="9"/>
      <c r="C82" s="9"/>
      <c r="D82" s="11">
        <f>239.25</f>
        <v>239.25</v>
      </c>
      <c r="E82" s="9"/>
      <c r="F82" s="9"/>
      <c r="G82" s="9"/>
      <c r="H82" s="9"/>
      <c r="I82" s="11">
        <f t="shared" si="12"/>
        <v>239.25</v>
      </c>
    </row>
    <row r="83" spans="1:9" x14ac:dyDescent="0.25">
      <c r="A83" s="2" t="s">
        <v>85</v>
      </c>
      <c r="B83" s="9"/>
      <c r="C83" s="11">
        <f>279.5</f>
        <v>279.5</v>
      </c>
      <c r="D83" s="9"/>
      <c r="E83" s="9"/>
      <c r="F83" s="11">
        <f>3500</f>
        <v>3500</v>
      </c>
      <c r="G83" s="9"/>
      <c r="H83" s="9"/>
      <c r="I83" s="11">
        <f t="shared" si="12"/>
        <v>3779.5</v>
      </c>
    </row>
    <row r="84" spans="1:9" x14ac:dyDescent="0.25">
      <c r="A84" s="2" t="s">
        <v>86</v>
      </c>
      <c r="B84" s="9"/>
      <c r="C84" s="11">
        <f>156.86</f>
        <v>156.86000000000001</v>
      </c>
      <c r="D84" s="9"/>
      <c r="E84" s="9"/>
      <c r="F84" s="9"/>
      <c r="G84" s="9"/>
      <c r="H84" s="9"/>
      <c r="I84" s="11">
        <f t="shared" si="12"/>
        <v>156.86000000000001</v>
      </c>
    </row>
    <row r="85" spans="1:9" x14ac:dyDescent="0.25">
      <c r="A85" s="2" t="s">
        <v>87</v>
      </c>
      <c r="B85" s="9"/>
      <c r="C85" s="11">
        <f>3556.52</f>
        <v>3556.52</v>
      </c>
      <c r="D85" s="9"/>
      <c r="E85" s="9"/>
      <c r="F85" s="9"/>
      <c r="G85" s="11">
        <f>1034.7</f>
        <v>1034.7</v>
      </c>
      <c r="H85" s="9"/>
      <c r="I85" s="11">
        <f t="shared" si="12"/>
        <v>4591.22</v>
      </c>
    </row>
    <row r="86" spans="1:9" x14ac:dyDescent="0.25">
      <c r="A86" s="2" t="s">
        <v>88</v>
      </c>
      <c r="B86" s="13">
        <f t="shared" ref="B86:H86" si="19">(((((B80)+(B81))+(B82))+(B83))+(B84))+(B85)</f>
        <v>0</v>
      </c>
      <c r="C86" s="13">
        <f t="shared" si="19"/>
        <v>3992.88</v>
      </c>
      <c r="D86" s="13">
        <f t="shared" si="19"/>
        <v>239.25</v>
      </c>
      <c r="E86" s="13">
        <f t="shared" si="19"/>
        <v>0</v>
      </c>
      <c r="F86" s="13">
        <f t="shared" si="19"/>
        <v>3500</v>
      </c>
      <c r="G86" s="13">
        <f t="shared" si="19"/>
        <v>1034.7</v>
      </c>
      <c r="H86" s="13">
        <f t="shared" si="19"/>
        <v>1038.95</v>
      </c>
      <c r="I86" s="11">
        <f t="shared" si="12"/>
        <v>9805.7800000000007</v>
      </c>
    </row>
    <row r="87" spans="1:9" x14ac:dyDescent="0.25">
      <c r="A87" s="2" t="s">
        <v>89</v>
      </c>
      <c r="B87" s="9"/>
      <c r="C87" s="9"/>
      <c r="D87" s="9"/>
      <c r="E87" s="9"/>
      <c r="F87" s="9"/>
      <c r="G87" s="9"/>
      <c r="H87" s="9"/>
      <c r="I87" s="11">
        <f t="shared" si="12"/>
        <v>0</v>
      </c>
    </row>
    <row r="88" spans="1:9" x14ac:dyDescent="0.25">
      <c r="A88" s="2" t="s">
        <v>90</v>
      </c>
      <c r="B88" s="9"/>
      <c r="C88" s="9"/>
      <c r="D88" s="9"/>
      <c r="E88" s="9"/>
      <c r="F88" s="9"/>
      <c r="G88" s="11">
        <f>1116.44</f>
        <v>1116.44</v>
      </c>
      <c r="H88" s="9"/>
      <c r="I88" s="11">
        <f t="shared" si="12"/>
        <v>1116.44</v>
      </c>
    </row>
    <row r="89" spans="1:9" x14ac:dyDescent="0.25">
      <c r="A89" s="2" t="s">
        <v>91</v>
      </c>
      <c r="B89" s="9"/>
      <c r="C89" s="9"/>
      <c r="D89" s="9"/>
      <c r="E89" s="9"/>
      <c r="F89" s="9"/>
      <c r="G89" s="9"/>
      <c r="H89" s="9"/>
      <c r="I89" s="11">
        <f t="shared" si="12"/>
        <v>0</v>
      </c>
    </row>
    <row r="90" spans="1:9" x14ac:dyDescent="0.25">
      <c r="A90" s="2" t="s">
        <v>92</v>
      </c>
      <c r="B90" s="13">
        <f t="shared" ref="B90:H90" si="20">((B87)+(B88))+(B89)</f>
        <v>0</v>
      </c>
      <c r="C90" s="13">
        <f t="shared" si="20"/>
        <v>0</v>
      </c>
      <c r="D90" s="13">
        <f t="shared" si="20"/>
        <v>0</v>
      </c>
      <c r="E90" s="13">
        <f t="shared" si="20"/>
        <v>0</v>
      </c>
      <c r="F90" s="13">
        <f t="shared" si="20"/>
        <v>0</v>
      </c>
      <c r="G90" s="13">
        <f t="shared" si="20"/>
        <v>1116.44</v>
      </c>
      <c r="H90" s="13">
        <f t="shared" si="20"/>
        <v>0</v>
      </c>
      <c r="I90" s="11">
        <f t="shared" si="12"/>
        <v>1116.44</v>
      </c>
    </row>
    <row r="91" spans="1:9" x14ac:dyDescent="0.25">
      <c r="A91" s="2" t="s">
        <v>93</v>
      </c>
      <c r="B91" s="13">
        <f t="shared" ref="B91:H91" si="21">((((((((((((B69)+(B70))+(B71))+(B72))+(B73))+(B74))+(B75))+(B76))+(B77))+(B78))+(B79))+(B86))+(B90)</f>
        <v>16605.669999999998</v>
      </c>
      <c r="C91" s="13">
        <f t="shared" si="21"/>
        <v>16712.32</v>
      </c>
      <c r="D91" s="13">
        <f t="shared" si="21"/>
        <v>12887.66</v>
      </c>
      <c r="E91" s="13">
        <f t="shared" si="21"/>
        <v>16415.57</v>
      </c>
      <c r="F91" s="13">
        <f t="shared" si="21"/>
        <v>14290.610000000002</v>
      </c>
      <c r="G91" s="13">
        <f t="shared" si="21"/>
        <v>14592.04</v>
      </c>
      <c r="H91" s="13">
        <f t="shared" si="21"/>
        <v>11934.7</v>
      </c>
      <c r="I91" s="11">
        <f t="shared" si="12"/>
        <v>103438.56999999999</v>
      </c>
    </row>
    <row r="92" spans="1:9" x14ac:dyDescent="0.25">
      <c r="A92" s="2" t="s">
        <v>94</v>
      </c>
      <c r="B92" s="11">
        <f>37.82</f>
        <v>37.82</v>
      </c>
      <c r="C92" s="11">
        <f>34.84</f>
        <v>34.840000000000003</v>
      </c>
      <c r="D92" s="9"/>
      <c r="E92" s="11">
        <f>0</f>
        <v>0</v>
      </c>
      <c r="F92" s="9"/>
      <c r="G92" s="9"/>
      <c r="H92" s="9"/>
      <c r="I92" s="11">
        <f t="shared" si="12"/>
        <v>72.66</v>
      </c>
    </row>
    <row r="93" spans="1:9" x14ac:dyDescent="0.25">
      <c r="A93" s="2" t="s">
        <v>95</v>
      </c>
      <c r="B93" s="9"/>
      <c r="C93" s="9"/>
      <c r="D93" s="11">
        <f>269.16</f>
        <v>269.16000000000003</v>
      </c>
      <c r="E93" s="11">
        <f>289.82</f>
        <v>289.82</v>
      </c>
      <c r="F93" s="11">
        <f>209.02</f>
        <v>209.02</v>
      </c>
      <c r="G93" s="11">
        <f>382.27</f>
        <v>382.27</v>
      </c>
      <c r="H93" s="11">
        <f>18</f>
        <v>18</v>
      </c>
      <c r="I93" s="11">
        <f t="shared" si="12"/>
        <v>1168.27</v>
      </c>
    </row>
    <row r="94" spans="1:9" x14ac:dyDescent="0.25">
      <c r="A94" s="2" t="s">
        <v>96</v>
      </c>
      <c r="B94" s="11">
        <f>30.4</f>
        <v>30.4</v>
      </c>
      <c r="C94" s="11">
        <f>30.4</f>
        <v>30.4</v>
      </c>
      <c r="D94" s="11">
        <f>57.01</f>
        <v>57.01</v>
      </c>
      <c r="E94" s="11">
        <f>31.13</f>
        <v>31.13</v>
      </c>
      <c r="F94" s="11">
        <f>31.13</f>
        <v>31.13</v>
      </c>
      <c r="G94" s="11">
        <f>57.95</f>
        <v>57.95</v>
      </c>
      <c r="H94" s="11">
        <f>30.4</f>
        <v>30.4</v>
      </c>
      <c r="I94" s="11">
        <f t="shared" si="12"/>
        <v>268.41999999999996</v>
      </c>
    </row>
    <row r="95" spans="1:9" x14ac:dyDescent="0.25">
      <c r="A95" s="2" t="s">
        <v>97</v>
      </c>
      <c r="B95" s="11">
        <f>40</f>
        <v>40</v>
      </c>
      <c r="C95" s="11">
        <f>200</f>
        <v>200</v>
      </c>
      <c r="D95" s="11">
        <f>100</f>
        <v>100</v>
      </c>
      <c r="E95" s="9"/>
      <c r="F95" s="9"/>
      <c r="G95" s="9"/>
      <c r="H95" s="9"/>
      <c r="I95" s="11">
        <f t="shared" si="12"/>
        <v>340</v>
      </c>
    </row>
    <row r="96" spans="1:9" x14ac:dyDescent="0.25">
      <c r="A96" s="2" t="s">
        <v>98</v>
      </c>
      <c r="B96" s="9"/>
      <c r="C96" s="9"/>
      <c r="D96" s="9"/>
      <c r="E96" s="9"/>
      <c r="F96" s="9"/>
      <c r="G96" s="9"/>
      <c r="H96" s="9"/>
      <c r="I96" s="11">
        <f t="shared" si="12"/>
        <v>0</v>
      </c>
    </row>
    <row r="97" spans="1:9" x14ac:dyDescent="0.25">
      <c r="A97" s="2" t="s">
        <v>99</v>
      </c>
      <c r="B97" s="13">
        <f t="shared" ref="B97:H97" si="22">(((((B91)+(B92))+(B93))+(B94))+(B95))+(B96)</f>
        <v>16713.89</v>
      </c>
      <c r="C97" s="13">
        <f t="shared" si="22"/>
        <v>16977.560000000001</v>
      </c>
      <c r="D97" s="13">
        <f t="shared" si="22"/>
        <v>13313.83</v>
      </c>
      <c r="E97" s="13">
        <f t="shared" si="22"/>
        <v>16736.52</v>
      </c>
      <c r="F97" s="13">
        <f t="shared" si="22"/>
        <v>14530.760000000002</v>
      </c>
      <c r="G97" s="13">
        <f t="shared" si="22"/>
        <v>15032.260000000002</v>
      </c>
      <c r="H97" s="13">
        <f t="shared" si="22"/>
        <v>11983.1</v>
      </c>
      <c r="I97" s="11">
        <f t="shared" si="12"/>
        <v>105287.92000000001</v>
      </c>
    </row>
    <row r="98" spans="1:9" x14ac:dyDescent="0.25">
      <c r="A98" s="2" t="s">
        <v>100</v>
      </c>
      <c r="B98" s="13">
        <f t="shared" ref="B98:H98" si="23">(B67)-(B97)</f>
        <v>13916.380000000019</v>
      </c>
      <c r="C98" s="13">
        <f t="shared" si="23"/>
        <v>37542.830000000016</v>
      </c>
      <c r="D98" s="13">
        <f t="shared" si="23"/>
        <v>5888.9700000000175</v>
      </c>
      <c r="E98" s="13">
        <f t="shared" si="23"/>
        <v>-2902.6399999999958</v>
      </c>
      <c r="F98" s="13">
        <f t="shared" si="23"/>
        <v>39636.400000000001</v>
      </c>
      <c r="G98" s="13">
        <f t="shared" si="23"/>
        <v>-6320.5</v>
      </c>
      <c r="H98" s="13">
        <f t="shared" si="23"/>
        <v>-9746.1</v>
      </c>
      <c r="I98" s="11">
        <f t="shared" si="12"/>
        <v>78015.340000000055</v>
      </c>
    </row>
    <row r="99" spans="1:9" x14ac:dyDescent="0.25">
      <c r="A99" s="2" t="s">
        <v>101</v>
      </c>
      <c r="B99" s="13">
        <f t="shared" ref="B99:H99" si="24">(B98)+(0)</f>
        <v>13916.380000000019</v>
      </c>
      <c r="C99" s="13">
        <f t="shared" si="24"/>
        <v>37542.830000000016</v>
      </c>
      <c r="D99" s="13">
        <f t="shared" si="24"/>
        <v>5888.9700000000175</v>
      </c>
      <c r="E99" s="13">
        <f t="shared" si="24"/>
        <v>-2902.6399999999958</v>
      </c>
      <c r="F99" s="13">
        <f t="shared" si="24"/>
        <v>39636.400000000001</v>
      </c>
      <c r="G99" s="13">
        <f t="shared" si="24"/>
        <v>-6320.5</v>
      </c>
      <c r="H99" s="13">
        <f t="shared" si="24"/>
        <v>-9746.1</v>
      </c>
      <c r="I99" s="11">
        <f t="shared" si="12"/>
        <v>78015.340000000055</v>
      </c>
    </row>
    <row r="100" spans="1:9" x14ac:dyDescent="0.25">
      <c r="A100" s="2"/>
      <c r="B100" s="3"/>
      <c r="C100" s="3"/>
      <c r="D100" s="3"/>
      <c r="E100" s="3"/>
      <c r="F100" s="3"/>
      <c r="G100" s="3"/>
      <c r="H100" s="3"/>
      <c r="I100" s="3"/>
    </row>
    <row r="103" spans="1:9" x14ac:dyDescent="0.25">
      <c r="A103" s="4" t="s">
        <v>102</v>
      </c>
      <c r="B103" s="5"/>
      <c r="C103" s="5"/>
      <c r="D103" s="5"/>
      <c r="E103" s="5"/>
      <c r="F103" s="5"/>
      <c r="G103" s="5"/>
      <c r="H103" s="5"/>
      <c r="I103" s="5"/>
    </row>
  </sheetData>
  <mergeCells count="4">
    <mergeCell ref="A103:I103"/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by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Ron Ross</cp:lastModifiedBy>
  <dcterms:created xsi:type="dcterms:W3CDTF">2022-04-19T12:46:10Z</dcterms:created>
  <dcterms:modified xsi:type="dcterms:W3CDTF">2022-04-19T14:47:54Z</dcterms:modified>
</cp:coreProperties>
</file>